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phdisegutl-my.sharepoint.com/personal/jcneves_iseg_ulisboa_pt/Documents/Teaching-English/ISEG-Mergers-Master of Finance/"/>
    </mc:Choice>
  </mc:AlternateContent>
  <bookViews>
    <workbookView xWindow="0" yWindow="0" windowWidth="12000" windowHeight="5100" activeTab="7"/>
  </bookViews>
  <sheets>
    <sheet name="Comparables" sheetId="5" r:id="rId1"/>
    <sheet name="Transactions" sheetId="6" r:id="rId2"/>
    <sheet name="BV" sheetId="1" r:id="rId3"/>
    <sheet name="NAV" sheetId="2" r:id="rId4"/>
    <sheet name="BrandValue" sheetId="4" r:id="rId5"/>
    <sheet name="WACC" sheetId="7" r:id="rId6"/>
    <sheet name="CB_DATA_" sheetId="10" state="veryHidden" r:id="rId7"/>
    <sheet name="CashFlow" sheetId="3" r:id="rId8"/>
    <sheet name="RangeValues" sheetId="8" r:id="rId9"/>
    <sheet name="InvestmentValue" sheetId="9" r:id="rId10"/>
  </sheets>
  <definedNames>
    <definedName name="CB_06d134eb971f40db9954d7f6b951a884" localSheetId="7" hidden="1">CashFlow!$B$18</definedName>
    <definedName name="CB_26eca95c45ea4d99bb613b28d989bde6" localSheetId="7" hidden="1">CashFlow!$I$4</definedName>
    <definedName name="CB_6492812a260c486aad900f3af5061019" localSheetId="7" hidden="1">CashFlow!$I$16</definedName>
    <definedName name="CB_7911a8f647ca402a8d2c07af9d7f6775" localSheetId="7" hidden="1">CashFlow!$B$29</definedName>
    <definedName name="CB_9ba59ed3a9dd4133bbeca4660811294f" localSheetId="4" hidden="1">BrandValue!$B$13</definedName>
    <definedName name="CB_ac51cefc59b14e0faa7a26d9b8e599d0" localSheetId="5" hidden="1">WACC!$B$32</definedName>
    <definedName name="CB_b2081bdcc0244c34abc5bb1163b507c9" localSheetId="5" hidden="1">WACC!$B$28</definedName>
    <definedName name="CB_Block_00000000000000000000000000000000" localSheetId="4" hidden="1">"'7.0.0.0"</definedName>
    <definedName name="CB_Block_00000000000000000000000000000000" localSheetId="7" hidden="1">"'7.0.0.0"</definedName>
    <definedName name="CB_Block_00000000000000000000000000000000" localSheetId="5" hidden="1">"'7.0.0.0"</definedName>
    <definedName name="CB_Block_00000000000000000000000000000001" localSheetId="4" hidden="1">"'636566310715155106"</definedName>
    <definedName name="CB_Block_00000000000000000000000000000001" localSheetId="7" hidden="1">"'636566310714654638"</definedName>
    <definedName name="CB_Block_00000000000000000000000000000001" localSheetId="6" hidden="1">"'636566310715195152"</definedName>
    <definedName name="CB_Block_00000000000000000000000000000001" localSheetId="5" hidden="1">"'636566310714975072"</definedName>
    <definedName name="CB_Block_00000000000000000000000000000003" localSheetId="4" hidden="1">"'11.1.4100.0"</definedName>
    <definedName name="CB_Block_00000000000000000000000000000003" localSheetId="7" hidden="1">"'11.1.4100.0"</definedName>
    <definedName name="CB_Block_00000000000000000000000000000003" localSheetId="5" hidden="1">"'11.1.4100.0"</definedName>
    <definedName name="CB_BlockExt_00000000000000000000000000000003" localSheetId="4" hidden="1">"'11.1.2.4.000"</definedName>
    <definedName name="CB_BlockExt_00000000000000000000000000000003" localSheetId="7" hidden="1">"'11.1.2.4.000"</definedName>
    <definedName name="CB_BlockExt_00000000000000000000000000000003" localSheetId="5" hidden="1">"'11.1.2.4.000"</definedName>
    <definedName name="CBWorkbookPriority" localSheetId="6" hidden="1">-759625360302583</definedName>
    <definedName name="CBx_498cb4dde47a4d74aa25ab44683044da" localSheetId="6" hidden="1">"'BrandValue'!$A$1"</definedName>
    <definedName name="CBx_65f5f8e8aeaa4812aac9d6879d8d53f9" localSheetId="6" hidden="1">"'CashFlow'!$A$1"</definedName>
    <definedName name="CBx_8c74fcc8ad794de3b885cd5247e8228d" localSheetId="6" hidden="1">"'CB_DATA_'!$A$1"</definedName>
    <definedName name="CBx_a760c67d2a8b4b9eb32b0daf891c527f" localSheetId="6" hidden="1">"'WACC'!$A$1"</definedName>
    <definedName name="CBx_Sheet_Guid" localSheetId="4" hidden="1">"'498cb4dd-e47a-4d74-aa25-ab44683044da"</definedName>
    <definedName name="CBx_Sheet_Guid" localSheetId="7" hidden="1">"'65f5f8e8-aeaa-4812-aac9-d6879d8d53f9"</definedName>
    <definedName name="CBx_Sheet_Guid" localSheetId="6" hidden="1">"'8c74fcc8-ad79-4de3-b885-cd5247e8228d"</definedName>
    <definedName name="CBx_Sheet_Guid" localSheetId="5" hidden="1">"'a760c67d-2a8b-4b9e-b32b-0daf891c527f"</definedName>
    <definedName name="CBx_SheetRef" localSheetId="4" hidden="1">CB_DATA_!$D$14</definedName>
    <definedName name="CBx_SheetRef" localSheetId="7" hidden="1">CB_DATA_!$B$14</definedName>
    <definedName name="CBx_SheetRef" localSheetId="6" hidden="1">CB_DATA_!$A$14</definedName>
    <definedName name="CBx_SheetRef" localSheetId="5" hidden="1">CB_DATA_!$C$14</definedName>
    <definedName name="CBx_StorageType" localSheetId="4" hidden="1">2</definedName>
    <definedName name="CBx_StorageType" localSheetId="7" hidden="1">2</definedName>
    <definedName name="CBx_StorageType" localSheetId="6" hidden="1">2</definedName>
    <definedName name="CBx_StorageType" localSheetId="5" hidden="1">2</definedName>
  </definedNames>
  <calcPr calcId="162913" concurrentCalc="0" concurrentManualCount="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0" i="3" l="1"/>
  <c r="I6" i="3"/>
  <c r="I14" i="3"/>
  <c r="I9" i="3"/>
  <c r="I11" i="3"/>
  <c r="I19" i="3"/>
  <c r="I3" i="3"/>
  <c r="I15" i="3"/>
  <c r="I17" i="3"/>
  <c r="I21" i="3"/>
  <c r="C28" i="7"/>
  <c r="D28" i="7"/>
  <c r="D30" i="7"/>
  <c r="C32" i="7"/>
  <c r="D32" i="7"/>
  <c r="D34" i="7"/>
  <c r="D36" i="7"/>
  <c r="B22" i="3"/>
  <c r="H24" i="3"/>
  <c r="C30" i="7"/>
  <c r="C34" i="7"/>
  <c r="C36" i="7"/>
  <c r="B23" i="3"/>
  <c r="B24" i="3"/>
  <c r="C11" i="3"/>
  <c r="C19" i="3"/>
  <c r="C17" i="3"/>
  <c r="C21" i="3"/>
  <c r="D11" i="3"/>
  <c r="D19" i="3"/>
  <c r="D17" i="3"/>
  <c r="D21" i="3"/>
  <c r="E11" i="3"/>
  <c r="E19" i="3"/>
  <c r="E17" i="3"/>
  <c r="E21" i="3"/>
  <c r="F11" i="3"/>
  <c r="F19" i="3"/>
  <c r="F17" i="3"/>
  <c r="F21" i="3"/>
  <c r="G11" i="3"/>
  <c r="G19" i="3"/>
  <c r="G17" i="3"/>
  <c r="G21" i="3"/>
  <c r="H11" i="3"/>
  <c r="H19" i="3"/>
  <c r="H17" i="3"/>
  <c r="H21" i="3"/>
  <c r="B25" i="3"/>
  <c r="B26" i="3"/>
  <c r="B27" i="3"/>
  <c r="B28" i="3"/>
  <c r="B29" i="3"/>
  <c r="B39" i="3"/>
  <c r="B41" i="3"/>
  <c r="B42" i="3"/>
  <c r="B34" i="3"/>
  <c r="I4" i="4"/>
  <c r="I3" i="4"/>
  <c r="I6" i="4"/>
  <c r="B7" i="4"/>
  <c r="I8" i="4"/>
  <c r="H9" i="4"/>
  <c r="H11" i="4"/>
  <c r="B10" i="4"/>
  <c r="B11" i="4"/>
  <c r="C8" i="4"/>
  <c r="D8" i="4"/>
  <c r="E8" i="4"/>
  <c r="F8" i="4"/>
  <c r="G8" i="4"/>
  <c r="H8" i="4"/>
  <c r="B12" i="4"/>
  <c r="B13" i="4"/>
  <c r="C4" i="2"/>
  <c r="C11" i="2"/>
  <c r="D11" i="2"/>
  <c r="C13" i="2"/>
  <c r="B35" i="3"/>
  <c r="B36" i="3"/>
  <c r="B37" i="3"/>
  <c r="D6" i="7"/>
  <c r="G6" i="7"/>
  <c r="J6" i="7"/>
  <c r="D7" i="7"/>
  <c r="G7" i="7"/>
  <c r="J7" i="7"/>
  <c r="D8" i="7"/>
  <c r="G8" i="7"/>
  <c r="J8" i="7"/>
  <c r="D11" i="7"/>
  <c r="G11" i="7"/>
  <c r="J11" i="7"/>
  <c r="D12" i="7"/>
  <c r="G12" i="7"/>
  <c r="J12" i="7"/>
  <c r="D13" i="7"/>
  <c r="G13" i="7"/>
  <c r="J13" i="7"/>
  <c r="D14" i="7"/>
  <c r="G14" i="7"/>
  <c r="J14" i="7"/>
  <c r="J19" i="7"/>
  <c r="D4" i="7"/>
  <c r="E4" i="7"/>
  <c r="F4" i="7"/>
  <c r="B23" i="7"/>
  <c r="B24" i="7"/>
  <c r="B25" i="7"/>
  <c r="B27" i="7"/>
  <c r="D19" i="6"/>
  <c r="C19" i="6"/>
  <c r="C20" i="6"/>
  <c r="E13" i="6"/>
  <c r="D13" i="6"/>
  <c r="E12" i="6"/>
  <c r="D12" i="6"/>
  <c r="C13" i="6"/>
  <c r="C12" i="6"/>
  <c r="H17" i="7"/>
  <c r="G17" i="7"/>
  <c r="H16" i="7"/>
  <c r="G16" i="7"/>
  <c r="J53" i="5"/>
  <c r="J55" i="5"/>
  <c r="J56" i="5"/>
  <c r="J57" i="5"/>
  <c r="J60" i="5"/>
  <c r="J61" i="5"/>
  <c r="J62" i="5"/>
  <c r="J63" i="5"/>
  <c r="J66" i="5"/>
  <c r="I53" i="5"/>
  <c r="I55" i="5"/>
  <c r="I56" i="5"/>
  <c r="I57" i="5"/>
  <c r="I60" i="5"/>
  <c r="I61" i="5"/>
  <c r="I62" i="5"/>
  <c r="I63" i="5"/>
  <c r="I66" i="5"/>
  <c r="B11" i="3"/>
  <c r="H53" i="5"/>
  <c r="H55" i="5"/>
  <c r="H56" i="5"/>
  <c r="H57" i="5"/>
  <c r="H60" i="5"/>
  <c r="H61" i="5"/>
  <c r="H62" i="5"/>
  <c r="H63" i="5"/>
  <c r="H66" i="5"/>
  <c r="G53" i="5"/>
  <c r="G55" i="5"/>
  <c r="G56" i="5"/>
  <c r="G57" i="5"/>
  <c r="G60" i="5"/>
  <c r="G61" i="5"/>
  <c r="G62" i="5"/>
  <c r="G63" i="5"/>
  <c r="G66" i="5"/>
  <c r="F53" i="5"/>
  <c r="F55" i="5"/>
  <c r="F56" i="5"/>
  <c r="F57" i="5"/>
  <c r="F60" i="5"/>
  <c r="F61" i="5"/>
  <c r="F62" i="5"/>
  <c r="F63" i="5"/>
  <c r="F66" i="5"/>
  <c r="E53" i="5"/>
  <c r="E55" i="5"/>
  <c r="E56" i="5"/>
  <c r="E57" i="5"/>
  <c r="E60" i="5"/>
  <c r="E61" i="5"/>
  <c r="E62" i="5"/>
  <c r="E63" i="5"/>
  <c r="E66" i="5"/>
  <c r="D53" i="5"/>
  <c r="D55" i="5"/>
  <c r="D56" i="5"/>
  <c r="D57" i="5"/>
  <c r="D60" i="5"/>
  <c r="D61" i="5"/>
  <c r="D62" i="5"/>
  <c r="D63" i="5"/>
  <c r="D66" i="5"/>
  <c r="C53" i="5"/>
  <c r="C55" i="5"/>
  <c r="C56" i="5"/>
  <c r="C57" i="5"/>
  <c r="C60" i="5"/>
  <c r="C61" i="5"/>
  <c r="C62" i="5"/>
  <c r="C63" i="5"/>
  <c r="C66" i="5"/>
  <c r="J65" i="5"/>
  <c r="I65" i="5"/>
  <c r="H65" i="5"/>
  <c r="G65" i="5"/>
  <c r="F65" i="5"/>
  <c r="E65" i="5"/>
  <c r="D65" i="5"/>
  <c r="C65" i="5"/>
  <c r="B53" i="5"/>
  <c r="B55" i="5"/>
  <c r="B56" i="5"/>
  <c r="B57" i="5"/>
  <c r="B60" i="5"/>
  <c r="B61" i="5"/>
  <c r="B62" i="5"/>
  <c r="B63" i="5"/>
  <c r="B66" i="5"/>
  <c r="D5" i="5"/>
  <c r="F5" i="5"/>
  <c r="B33" i="5"/>
  <c r="D6" i="5"/>
  <c r="F6" i="5"/>
  <c r="B34" i="5"/>
  <c r="D7" i="5"/>
  <c r="F7" i="5"/>
  <c r="B35" i="5"/>
  <c r="D10" i="5"/>
  <c r="F10" i="5"/>
  <c r="B40" i="5"/>
  <c r="D11" i="5"/>
  <c r="F11" i="5"/>
  <c r="B41" i="5"/>
  <c r="D12" i="5"/>
  <c r="F12" i="5"/>
  <c r="B42" i="5"/>
  <c r="D13" i="5"/>
  <c r="F13" i="5"/>
  <c r="B43" i="5"/>
  <c r="B65" i="5"/>
  <c r="B67" i="5"/>
  <c r="B58" i="5"/>
  <c r="B64" i="5"/>
  <c r="H19" i="7"/>
  <c r="H18" i="7"/>
  <c r="D8" i="2"/>
  <c r="B23" i="2"/>
  <c r="B77" i="5"/>
  <c r="C77" i="5"/>
  <c r="D24" i="7"/>
  <c r="D25" i="7"/>
  <c r="D27" i="7"/>
  <c r="B33" i="7"/>
  <c r="C33" i="7"/>
  <c r="D33" i="7"/>
  <c r="C24" i="7"/>
  <c r="C25" i="7"/>
  <c r="C27" i="7"/>
  <c r="C78" i="5"/>
  <c r="L7" i="8"/>
  <c r="B79" i="5"/>
  <c r="B80" i="5"/>
  <c r="B3" i="8"/>
  <c r="B4" i="8"/>
  <c r="C79" i="5"/>
  <c r="C80" i="5"/>
  <c r="G3" i="8"/>
  <c r="G4" i="8"/>
  <c r="D11" i="10"/>
  <c r="C11" i="10"/>
  <c r="B11" i="10"/>
  <c r="A11" i="10"/>
  <c r="B6" i="2"/>
  <c r="B11" i="2"/>
  <c r="D10" i="2"/>
  <c r="C6" i="2"/>
  <c r="D6" i="2"/>
  <c r="C7" i="1"/>
  <c r="B7" i="1"/>
  <c r="C5" i="1"/>
  <c r="B5" i="1"/>
  <c r="G17" i="6"/>
  <c r="E11" i="6"/>
  <c r="E16" i="6"/>
  <c r="D11" i="6"/>
  <c r="D16" i="6"/>
  <c r="C11" i="6"/>
  <c r="C16" i="6"/>
  <c r="C2" i="8"/>
  <c r="D2" i="8"/>
  <c r="E2" i="8"/>
  <c r="F2" i="8"/>
  <c r="G2" i="8"/>
  <c r="H2" i="8"/>
  <c r="I2" i="8"/>
  <c r="J2" i="8"/>
  <c r="K2" i="8"/>
  <c r="L2" i="8"/>
  <c r="M2" i="8"/>
  <c r="N2" i="8"/>
  <c r="O2" i="8"/>
  <c r="P2" i="8"/>
  <c r="Q2" i="8"/>
  <c r="R2" i="8"/>
  <c r="S2" i="8"/>
  <c r="T2" i="8"/>
  <c r="U2" i="8"/>
  <c r="V2" i="8"/>
  <c r="H12" i="3"/>
  <c r="H11" i="9"/>
  <c r="G12" i="3"/>
  <c r="G11" i="9"/>
  <c r="F12" i="3"/>
  <c r="F11" i="9"/>
  <c r="E12" i="3"/>
  <c r="E11" i="9"/>
  <c r="D12" i="3"/>
  <c r="D11" i="9"/>
  <c r="C12" i="3"/>
  <c r="C11" i="9"/>
  <c r="B12" i="3"/>
  <c r="B11" i="9"/>
  <c r="D5" i="9"/>
  <c r="E5" i="9"/>
  <c r="F5" i="9"/>
  <c r="G5" i="9"/>
  <c r="H5" i="9"/>
  <c r="I5" i="9"/>
  <c r="D4" i="9"/>
  <c r="E4" i="9"/>
  <c r="F4" i="9"/>
  <c r="G4" i="9"/>
  <c r="H4" i="9"/>
  <c r="D6" i="9"/>
  <c r="E6" i="9"/>
  <c r="F6" i="9"/>
  <c r="G6" i="9"/>
  <c r="H6" i="9"/>
  <c r="D9" i="9"/>
  <c r="E9" i="9"/>
  <c r="F9" i="9"/>
  <c r="G9" i="9"/>
  <c r="H9" i="9"/>
  <c r="C12" i="9"/>
  <c r="C7" i="9"/>
  <c r="H16" i="3"/>
  <c r="G16" i="3"/>
  <c r="F16" i="3"/>
  <c r="E16" i="3"/>
  <c r="D16" i="3"/>
  <c r="C16" i="3"/>
  <c r="K19" i="7"/>
  <c r="K18" i="7"/>
  <c r="K17" i="7"/>
  <c r="K16" i="7"/>
  <c r="F13" i="7"/>
  <c r="F11" i="7"/>
  <c r="F7" i="7"/>
  <c r="F6" i="7"/>
  <c r="B15" i="9"/>
  <c r="B34" i="7"/>
  <c r="F14" i="7"/>
  <c r="F8" i="7"/>
  <c r="F12" i="7"/>
  <c r="D7" i="9"/>
  <c r="I4" i="9"/>
  <c r="I6" i="9"/>
  <c r="I7" i="9"/>
  <c r="H7" i="9"/>
  <c r="E12" i="9"/>
  <c r="C14" i="9"/>
  <c r="F12" i="9"/>
  <c r="E7" i="9"/>
  <c r="F7" i="9"/>
  <c r="G7" i="9"/>
  <c r="D12" i="9"/>
  <c r="I7" i="3"/>
  <c r="C16" i="9"/>
  <c r="G19" i="7"/>
  <c r="G18" i="7"/>
  <c r="D14" i="9"/>
  <c r="D16" i="9"/>
  <c r="E14" i="9"/>
  <c r="E16" i="9"/>
  <c r="F14" i="9"/>
  <c r="F16" i="9"/>
  <c r="G12" i="9"/>
  <c r="G14" i="9"/>
  <c r="G16" i="9"/>
  <c r="I12" i="3"/>
  <c r="I11" i="9"/>
  <c r="E10" i="6"/>
  <c r="D10" i="6"/>
  <c r="C10" i="6"/>
  <c r="I43" i="5"/>
  <c r="J42" i="5"/>
  <c r="I41" i="5"/>
  <c r="J40" i="5"/>
  <c r="J17" i="7"/>
  <c r="J16" i="7"/>
  <c r="J18" i="7"/>
  <c r="I9" i="9"/>
  <c r="I12" i="9"/>
  <c r="I14" i="9"/>
  <c r="I16" i="9"/>
  <c r="H12" i="9"/>
  <c r="H14" i="9"/>
  <c r="H16" i="9"/>
  <c r="C42" i="5"/>
  <c r="F42" i="5"/>
  <c r="I42" i="5"/>
  <c r="C40" i="5"/>
  <c r="F40" i="5"/>
  <c r="I40" i="5"/>
  <c r="D41" i="5"/>
  <c r="D43" i="5"/>
  <c r="E41" i="5"/>
  <c r="G41" i="5"/>
  <c r="E43" i="5"/>
  <c r="G43" i="5"/>
  <c r="H41" i="5"/>
  <c r="J41" i="5"/>
  <c r="J43" i="5"/>
  <c r="J45" i="5"/>
  <c r="H43" i="5"/>
  <c r="D40" i="5"/>
  <c r="C41" i="5"/>
  <c r="D42" i="5"/>
  <c r="C43" i="5"/>
  <c r="E40" i="5"/>
  <c r="G40" i="5"/>
  <c r="F41" i="5"/>
  <c r="E42" i="5"/>
  <c r="G42" i="5"/>
  <c r="F43" i="5"/>
  <c r="H40" i="5"/>
  <c r="H42" i="5"/>
  <c r="E35" i="5"/>
  <c r="J33" i="5"/>
  <c r="B5" i="4"/>
  <c r="H4" i="4"/>
  <c r="G4" i="4"/>
  <c r="F4" i="4"/>
  <c r="E4" i="4"/>
  <c r="D4" i="4"/>
  <c r="C4" i="4"/>
  <c r="H7" i="3"/>
  <c r="G7" i="3"/>
  <c r="F7" i="3"/>
  <c r="E7" i="3"/>
  <c r="D7" i="3"/>
  <c r="C7" i="3"/>
  <c r="B7" i="3"/>
  <c r="H4" i="3"/>
  <c r="G4" i="3"/>
  <c r="F4" i="3"/>
  <c r="E4" i="3"/>
  <c r="D4" i="3"/>
  <c r="C4" i="3"/>
  <c r="B13" i="2"/>
  <c r="C7" i="2"/>
  <c r="D9" i="2"/>
  <c r="D7" i="2"/>
  <c r="B18" i="2"/>
  <c r="D5" i="2"/>
  <c r="B17" i="2"/>
  <c r="C3" i="2"/>
  <c r="B12" i="1"/>
  <c r="B15" i="1"/>
  <c r="B16" i="1"/>
  <c r="H6" i="4"/>
  <c r="B45" i="5"/>
  <c r="H45" i="5"/>
  <c r="G45" i="5"/>
  <c r="I45" i="5"/>
  <c r="E45" i="5"/>
  <c r="F45" i="5"/>
  <c r="D45" i="5"/>
  <c r="C45" i="5"/>
  <c r="J44" i="5"/>
  <c r="G44" i="5"/>
  <c r="I44" i="5"/>
  <c r="E44" i="5"/>
  <c r="F44" i="5"/>
  <c r="D44" i="5"/>
  <c r="C44" i="5"/>
  <c r="H44" i="5"/>
  <c r="B44" i="5"/>
  <c r="B19" i="3"/>
  <c r="D15" i="6"/>
  <c r="D17" i="6"/>
  <c r="C15" i="6"/>
  <c r="C17" i="6"/>
  <c r="E15" i="6"/>
  <c r="E17" i="6"/>
  <c r="C33" i="5"/>
  <c r="E33" i="5"/>
  <c r="G33" i="5"/>
  <c r="I33" i="5"/>
  <c r="D33" i="5"/>
  <c r="F33" i="5"/>
  <c r="H33" i="5"/>
  <c r="I34" i="5"/>
  <c r="G34" i="5"/>
  <c r="E34" i="5"/>
  <c r="E48" i="5"/>
  <c r="C34" i="5"/>
  <c r="D34" i="5"/>
  <c r="J34" i="5"/>
  <c r="J35" i="5"/>
  <c r="H35" i="5"/>
  <c r="F35" i="5"/>
  <c r="D35" i="5"/>
  <c r="C35" i="5"/>
  <c r="F34" i="5"/>
  <c r="F48" i="5"/>
  <c r="G35" i="5"/>
  <c r="H34" i="5"/>
  <c r="H48" i="5"/>
  <c r="I35" i="5"/>
  <c r="C6" i="4"/>
  <c r="E6" i="4"/>
  <c r="G6" i="4"/>
  <c r="B6" i="4"/>
  <c r="B8" i="4"/>
  <c r="D6" i="4"/>
  <c r="F6" i="4"/>
  <c r="D3" i="2"/>
  <c r="B15" i="2"/>
  <c r="J48" i="5"/>
  <c r="G48" i="5"/>
  <c r="D48" i="5"/>
  <c r="I48" i="5"/>
  <c r="B48" i="5"/>
  <c r="C48" i="5"/>
  <c r="H37" i="5"/>
  <c r="D37" i="5"/>
  <c r="C37" i="5"/>
  <c r="F37" i="5"/>
  <c r="E47" i="5"/>
  <c r="E37" i="5"/>
  <c r="J37" i="5"/>
  <c r="G37" i="5"/>
  <c r="B37" i="5"/>
  <c r="I47" i="5"/>
  <c r="I37" i="5"/>
  <c r="B47" i="5"/>
  <c r="D68" i="5"/>
  <c r="D47" i="5"/>
  <c r="C47" i="5"/>
  <c r="F68" i="5"/>
  <c r="F47" i="5"/>
  <c r="H36" i="5"/>
  <c r="H47" i="5"/>
  <c r="J47" i="5"/>
  <c r="G47" i="5"/>
  <c r="D20" i="6"/>
  <c r="B68" i="5"/>
  <c r="F64" i="5"/>
  <c r="D64" i="5"/>
  <c r="I64" i="5"/>
  <c r="G64" i="5"/>
  <c r="E64" i="5"/>
  <c r="C64" i="5"/>
  <c r="J36" i="5"/>
  <c r="C36" i="5"/>
  <c r="G36" i="5"/>
  <c r="F36" i="5"/>
  <c r="B36" i="5"/>
  <c r="D36" i="5"/>
  <c r="E36" i="5"/>
  <c r="I36" i="5"/>
  <c r="D58" i="5"/>
  <c r="D67" i="5"/>
  <c r="H64" i="5"/>
  <c r="J68" i="5"/>
  <c r="J64" i="5"/>
  <c r="V5" i="8"/>
  <c r="D69" i="5"/>
  <c r="B69" i="5"/>
  <c r="F58" i="5"/>
  <c r="F67" i="5"/>
  <c r="F69" i="5"/>
  <c r="J58" i="5"/>
  <c r="J67" i="5"/>
  <c r="E19" i="6"/>
  <c r="E20" i="6"/>
  <c r="E68" i="5"/>
  <c r="C68" i="5"/>
  <c r="H68" i="5"/>
  <c r="I68" i="5"/>
  <c r="G68" i="5"/>
  <c r="C58" i="5"/>
  <c r="C67" i="5"/>
  <c r="E67" i="5"/>
  <c r="E69" i="5"/>
  <c r="H67" i="5"/>
  <c r="G67" i="5"/>
  <c r="I67" i="5"/>
  <c r="G58" i="5"/>
  <c r="H58" i="5"/>
  <c r="E58" i="5"/>
  <c r="I58" i="5"/>
  <c r="B81" i="5"/>
  <c r="G69" i="5"/>
  <c r="C69" i="5"/>
  <c r="J69" i="5"/>
  <c r="D21" i="6"/>
  <c r="Q5" i="8"/>
  <c r="E21" i="6"/>
  <c r="H69" i="5"/>
  <c r="I69" i="5"/>
  <c r="G4" i="7"/>
  <c r="B30" i="7"/>
  <c r="B36" i="7"/>
  <c r="B17" i="9"/>
  <c r="H18" i="9"/>
  <c r="B18" i="9"/>
  <c r="B19" i="9"/>
  <c r="B30" i="3"/>
  <c r="B20" i="9"/>
  <c r="D4" i="2"/>
  <c r="B16" i="2"/>
  <c r="B19" i="2"/>
  <c r="B20" i="2"/>
  <c r="L5" i="8"/>
  <c r="B22" i="9"/>
  <c r="B23" i="9"/>
  <c r="J6" i="8"/>
  <c r="L6" i="8"/>
  <c r="B21" i="2"/>
  <c r="B24" i="2"/>
</calcChain>
</file>

<file path=xl/comments1.xml><?xml version="1.0" encoding="utf-8"?>
<comments xmlns="http://schemas.openxmlformats.org/spreadsheetml/2006/main">
  <authors>
    <author>jcneves</author>
  </authors>
  <commentList>
    <comment ref="B13" authorId="0" shapeId="0">
      <text>
        <r>
          <rPr>
            <b/>
            <sz val="9"/>
            <color indexed="81"/>
            <rFont val="Tahoma"/>
            <family val="2"/>
          </rPr>
          <t>Forecast</t>
        </r>
        <r>
          <rPr>
            <sz val="9"/>
            <color indexed="81"/>
            <rFont val="Tahoma"/>
            <family val="2"/>
          </rPr>
          <t>: Tradename value
  Units = Million EUR</t>
        </r>
      </text>
    </comment>
  </commentList>
</comments>
</file>

<file path=xl/comments2.xml><?xml version="1.0" encoding="utf-8"?>
<comments xmlns="http://schemas.openxmlformats.org/spreadsheetml/2006/main">
  <authors>
    <author>jcneves</author>
  </authors>
  <commentList>
    <comment ref="B28" authorId="0" shapeId="0">
      <text>
        <r>
          <rPr>
            <b/>
            <sz val="9"/>
            <color indexed="81"/>
            <rFont val="Tahoma"/>
            <family val="2"/>
          </rPr>
          <t>Assumption</t>
        </r>
        <r>
          <rPr>
            <sz val="9"/>
            <color indexed="81"/>
            <rFont val="Tahoma"/>
            <family val="2"/>
          </rPr>
          <t>: Equity risk premium
  Lognormal distribution
  Location = 0%
  Mean = 5%
  Std. Dev. = 0%</t>
        </r>
      </text>
    </comment>
    <comment ref="B32" authorId="0" shapeId="0">
      <text>
        <r>
          <rPr>
            <b/>
            <sz val="9"/>
            <color indexed="81"/>
            <rFont val="Tahoma"/>
            <family val="2"/>
          </rPr>
          <t>Assumption</t>
        </r>
        <r>
          <rPr>
            <sz val="9"/>
            <color indexed="81"/>
            <rFont val="Tahoma"/>
            <family val="2"/>
          </rPr>
          <t>: Cost of debt
  Lognormal distribution
  Location = 0.00%
  Mean = 5.20%
  Std. Dev. = 0.50%</t>
        </r>
      </text>
    </comment>
  </commentList>
</comments>
</file>

<file path=xl/comments3.xml><?xml version="1.0" encoding="utf-8"?>
<comments xmlns="http://schemas.openxmlformats.org/spreadsheetml/2006/main">
  <authors>
    <author>João Carvalho das Neves</author>
    <author>jcneves</author>
  </authors>
  <commentList>
    <comment ref="I4" authorId="0" shapeId="0">
      <text>
        <r>
          <rPr>
            <b/>
            <sz val="9"/>
            <color indexed="81"/>
            <rFont val="Tahoma"/>
            <family val="2"/>
          </rPr>
          <t>Assumption</t>
        </r>
        <r>
          <rPr>
            <sz val="9"/>
            <color indexed="81"/>
            <rFont val="Tahoma"/>
            <family val="2"/>
          </rPr>
          <t>: Terminal Growth Rate
  Triangular distribution
  Minimum = 2.0%
  Likeliest = 2.0%
  Maximum = 3.0%</t>
        </r>
      </text>
    </comment>
    <comment ref="I16" authorId="1" shapeId="0">
      <text>
        <r>
          <rPr>
            <b/>
            <sz val="9"/>
            <color indexed="81"/>
            <rFont val="Tahoma"/>
            <family val="2"/>
          </rPr>
          <t>Assumption</t>
        </r>
        <r>
          <rPr>
            <sz val="9"/>
            <color indexed="81"/>
            <rFont val="Tahoma"/>
            <family val="2"/>
          </rPr>
          <t>: WCR to Sales
  Normal distribution
  Mean = 1.30
  Std. Dev. = 0.13</t>
        </r>
      </text>
    </comment>
    <comment ref="B18" authorId="1" shapeId="0">
      <text>
        <r>
          <rPr>
            <b/>
            <sz val="9"/>
            <color indexed="81"/>
            <rFont val="Tahoma"/>
            <family val="2"/>
          </rPr>
          <t>Assumption</t>
        </r>
        <r>
          <rPr>
            <sz val="9"/>
            <color indexed="81"/>
            <rFont val="Tahoma"/>
            <family val="2"/>
          </rPr>
          <t>: Tax Rate
  Uniform distribution
  Minimum = 30.0%
  Maximum = 36.0%</t>
        </r>
      </text>
    </comment>
    <comment ref="B29" authorId="1" shapeId="0">
      <text>
        <r>
          <rPr>
            <b/>
            <sz val="9"/>
            <color indexed="81"/>
            <rFont val="Tahoma"/>
            <family val="2"/>
          </rPr>
          <t>Forecast</t>
        </r>
        <r>
          <rPr>
            <sz val="9"/>
            <color indexed="81"/>
            <rFont val="Tahoma"/>
            <family val="2"/>
          </rPr>
          <t>: Instrinsec Value of Equity
  Units = Million EUR</t>
        </r>
      </text>
    </comment>
  </commentList>
</comments>
</file>

<file path=xl/sharedStrings.xml><?xml version="1.0" encoding="utf-8"?>
<sst xmlns="http://schemas.openxmlformats.org/spreadsheetml/2006/main" count="353" uniqueCount="211">
  <si>
    <t>Sales</t>
  </si>
  <si>
    <t>N-1</t>
  </si>
  <si>
    <t>N</t>
  </si>
  <si>
    <t>EBITDA</t>
  </si>
  <si>
    <t>EBIT</t>
  </si>
  <si>
    <t>Total Assets</t>
  </si>
  <si>
    <t>Equity</t>
  </si>
  <si>
    <t>Debt</t>
  </si>
  <si>
    <t>Operational liabilities</t>
  </si>
  <si>
    <t>BV</t>
  </si>
  <si>
    <t>MV</t>
  </si>
  <si>
    <t>Vinery Land</t>
  </si>
  <si>
    <t xml:space="preserve">Brand </t>
  </si>
  <si>
    <t>Buildings</t>
  </si>
  <si>
    <t>Inventories</t>
  </si>
  <si>
    <t>Cash</t>
  </si>
  <si>
    <t>Assets</t>
  </si>
  <si>
    <t>N+1</t>
  </si>
  <si>
    <t>N+2</t>
  </si>
  <si>
    <t>N+3</t>
  </si>
  <si>
    <t>N+4</t>
  </si>
  <si>
    <t>N+5</t>
  </si>
  <si>
    <t>TV</t>
  </si>
  <si>
    <t>Step-up</t>
  </si>
  <si>
    <t>Adjustments:</t>
  </si>
  <si>
    <t xml:space="preserve">   Adjustments</t>
  </si>
  <si>
    <t>Net Asset Value</t>
  </si>
  <si>
    <t>% increase</t>
  </si>
  <si>
    <t>Growth rate</t>
  </si>
  <si>
    <t>EBITDA/Sales</t>
  </si>
  <si>
    <t>D&amp;A</t>
  </si>
  <si>
    <t>EBIT/Sales</t>
  </si>
  <si>
    <t>CAPEX</t>
  </si>
  <si>
    <t>Working Capital Requirements</t>
  </si>
  <si>
    <t>Increase of WCR</t>
  </si>
  <si>
    <t>Tax Rate</t>
  </si>
  <si>
    <t>Operational cash flow</t>
  </si>
  <si>
    <t>Royalties %</t>
  </si>
  <si>
    <t xml:space="preserve">Royalties </t>
  </si>
  <si>
    <t>WACC</t>
  </si>
  <si>
    <t>Champagne Houses</t>
  </si>
  <si>
    <t>Laurent Perrier</t>
  </si>
  <si>
    <t>Vranken Pommery Monopole</t>
  </si>
  <si>
    <t>Baizel Chanoine Champagne</t>
  </si>
  <si>
    <t>Share Price</t>
  </si>
  <si>
    <t>Shares Outstanding (Mio)</t>
  </si>
  <si>
    <t>Net Debt (Mio)</t>
  </si>
  <si>
    <t>Equity Market Value (Mio)</t>
  </si>
  <si>
    <t>EV (Mio)</t>
  </si>
  <si>
    <t>Sales (Mio)</t>
  </si>
  <si>
    <t>EBITDA (Mio)</t>
  </si>
  <si>
    <t>EBIT (Mio)</t>
  </si>
  <si>
    <t>EV/Sales</t>
  </si>
  <si>
    <t>EV/EBITDA</t>
  </si>
  <si>
    <t>EV/EBIT</t>
  </si>
  <si>
    <t>Leblanc-Lenoir</t>
  </si>
  <si>
    <t>Invested Capital at Market Value</t>
  </si>
  <si>
    <t>Average</t>
  </si>
  <si>
    <t>Debt of Leblanc-Lenoir</t>
  </si>
  <si>
    <t>Min</t>
  </si>
  <si>
    <t>Max</t>
  </si>
  <si>
    <t>Wine &amp; Liquor Producers</t>
  </si>
  <si>
    <t>Diageo</t>
  </si>
  <si>
    <t>Pernod Ricard</t>
  </si>
  <si>
    <t>Davide Campari Miano</t>
  </si>
  <si>
    <t>Remy Cointeau</t>
  </si>
  <si>
    <t>Average of Champangne Houses</t>
  </si>
  <si>
    <t>Average of Wine &amp; Liquor Producers</t>
  </si>
  <si>
    <t>Estimated EV (Mio) of Leblanc-Lenoir based on:</t>
  </si>
  <si>
    <t xml:space="preserve">Average </t>
  </si>
  <si>
    <t>Median</t>
  </si>
  <si>
    <t>Net Debt</t>
  </si>
  <si>
    <t>ESTIMATED VALUE OF EQUITY (Mio)</t>
  </si>
  <si>
    <t>Date of completion</t>
  </si>
  <si>
    <t>Target</t>
  </si>
  <si>
    <t>Sichuan Swellfun</t>
  </si>
  <si>
    <t>Vin &amp; Spirit</t>
  </si>
  <si>
    <t>42 Below</t>
  </si>
  <si>
    <t>Groupe Lanson International</t>
  </si>
  <si>
    <t>Polmos Bialystock</t>
  </si>
  <si>
    <t>Glenmorangie</t>
  </si>
  <si>
    <t>Barbero 1891</t>
  </si>
  <si>
    <t>Seagram Wine &amp; Spirit Business</t>
  </si>
  <si>
    <t>Sales Multiple</t>
  </si>
  <si>
    <t>EBITDA Multiple</t>
  </si>
  <si>
    <t>EBIT Multiple</t>
  </si>
  <si>
    <t>EV Leblanc-Lenoir</t>
  </si>
  <si>
    <t>EV of Leblac-Lenoir - Range of comparables</t>
  </si>
  <si>
    <t xml:space="preserve">Based on EV/sales       </t>
  </si>
  <si>
    <t>Based on EV/EBITDA</t>
  </si>
  <si>
    <t>Based on EV/EBIT</t>
  </si>
  <si>
    <t>Selected Range</t>
  </si>
  <si>
    <t>Equity Value</t>
  </si>
  <si>
    <t>Range of comparable transactions</t>
  </si>
  <si>
    <t>D/E</t>
  </si>
  <si>
    <t>Levered Beta</t>
  </si>
  <si>
    <t>Unlevered Beta</t>
  </si>
  <si>
    <t>Tax rate</t>
  </si>
  <si>
    <t>Cost of Debt</t>
  </si>
  <si>
    <t>Risk free rate (France)</t>
  </si>
  <si>
    <t>Equity risk premium</t>
  </si>
  <si>
    <t>Size premium</t>
  </si>
  <si>
    <t>Cost of equity</t>
  </si>
  <si>
    <t>Cost of debt</t>
  </si>
  <si>
    <t>E/EV</t>
  </si>
  <si>
    <t>D/EV</t>
  </si>
  <si>
    <t>Cost of debt net of taxes</t>
  </si>
  <si>
    <t>Net operational cash flow</t>
  </si>
  <si>
    <t>Net operational profit after taxes (NOPAT)</t>
  </si>
  <si>
    <t>Depreciation = Investments</t>
  </si>
  <si>
    <t>Keep the same trading cycle</t>
  </si>
  <si>
    <t>PV of DCF</t>
  </si>
  <si>
    <t>Long term WACC</t>
  </si>
  <si>
    <t>Royalties after taxes</t>
  </si>
  <si>
    <t>PV of Royalties</t>
  </si>
  <si>
    <t>Transactions Comparables</t>
  </si>
  <si>
    <t>Stock Market Comparables</t>
  </si>
  <si>
    <t>Intrinsec Value</t>
  </si>
  <si>
    <t>WACC for the explicit period</t>
  </si>
  <si>
    <t>Instrinsec Value of Equity</t>
  </si>
  <si>
    <t>Lowering  overhead costs</t>
  </si>
  <si>
    <t>Restructuring plan cost</t>
  </si>
  <si>
    <t>Rationalizing distribution network</t>
  </si>
  <si>
    <t>Increase of sales</t>
  </si>
  <si>
    <t>Cost of marketing</t>
  </si>
  <si>
    <t>Savings</t>
  </si>
  <si>
    <t>synergies</t>
  </si>
  <si>
    <t>EBITDA from Europe</t>
  </si>
  <si>
    <t>EBITDA margin</t>
  </si>
  <si>
    <t>EBITDA from USA</t>
  </si>
  <si>
    <t>EBITDA of Synergies</t>
  </si>
  <si>
    <t>Taxes</t>
  </si>
  <si>
    <t>Synergy</t>
  </si>
  <si>
    <t>Intrinsic Value of Equity</t>
  </si>
  <si>
    <t>Investment Value of Equity</t>
  </si>
  <si>
    <t>MARKET DATA OF COMPARABLE COMPANIES IN THE SAMPLE - APENDIX 5.3</t>
  </si>
  <si>
    <t>ACCOUNTING DATA OF COMPARABLE FIRMS IN THE SAMPLE - APPENDIX 5.3</t>
  </si>
  <si>
    <t>MULTIPLES OF COMPARABLE FIRMS</t>
  </si>
  <si>
    <t>Average of all</t>
  </si>
  <si>
    <t>Median of Champangne Houses</t>
  </si>
  <si>
    <t>Median of Wine &amp; Liquor Producers</t>
  </si>
  <si>
    <t>WACC BASED ON VARIOUS CAPITAL STRUCTURES</t>
  </si>
  <si>
    <t>Control premium</t>
  </si>
  <si>
    <t>NAV</t>
  </si>
  <si>
    <t>Average without Lanson</t>
  </si>
  <si>
    <t>Median without Lanson</t>
  </si>
  <si>
    <t>Net Debt (Mio)= Debt-Cash</t>
  </si>
  <si>
    <t>Median of all</t>
  </si>
  <si>
    <t>% Range between Average and median</t>
  </si>
  <si>
    <t>Multiple (median)</t>
  </si>
  <si>
    <t xml:space="preserve">ACCOUNTING DATA OF LEBLANC LENOIR - APPENDIX 5.2 BUSINESS PLAN + EV </t>
  </si>
  <si>
    <t>Outlier because financial distress</t>
  </si>
  <si>
    <t>% sales</t>
  </si>
  <si>
    <t>BALANCE SHEET</t>
  </si>
  <si>
    <t>INCOME STATEMENT</t>
  </si>
  <si>
    <t>LEBLANC-LENOIR</t>
  </si>
  <si>
    <t>APPENDIX 5.3 COMPARABLE FIRMS</t>
  </si>
  <si>
    <t>Actual</t>
  </si>
  <si>
    <t>Section 5.2 Business Plan</t>
  </si>
  <si>
    <t>Equipments</t>
  </si>
  <si>
    <t>Other</t>
  </si>
  <si>
    <t>EQUITY VALUATION - LEBLANC-LENOIR</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</si>
  <si>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</si>
  <si>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</si>
  <si>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</si>
  <si>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</si>
  <si>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</si>
  <si>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</si>
  <si>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</si>
  <si>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</si>
  <si>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</si>
  <si>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</si>
  <si>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</si>
  <si>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</si>
  <si>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8c74fcc8-ad79-4de3-b885-cd5247e8228d</t>
  </si>
  <si>
    <t>CB_Block_0</t>
  </si>
  <si>
    <t>㜸〱敤㕣㕤㙣ㅣ搷㜵摥㤹攵㉥㜷㤶㕣㤱ㄶ㘵挹㔲ㅣ㥢㠹敤昸㠷㉡㉤捡㔶ㅣ愷㔶㔴晥㤸ㄲ㙤㑡愴㐵㑡戲㙢户搴㜰㜷㐶ㅣ㘹㘷㤶㥥㤹愵挴㐴愸㥤㌴㑤搳愶㙤㕡愳㉦㑥摤㌸戶㥦〲㈴つ晡㄰搷㙥〲搴〱㕡愴㉤ㅣ愰て改㐳㡢㍥戸㐱㤱㍥戴㈸〴昴㈵て〱搲敦㍢㜷㘶㜷㜶挹ㅤ搲㙢扢愵ぢ㡥扤㠷㜷捥扤㜷收摥㝢㝥敦㌹㜷㤴搱㌲㤹捣㉦㜰昱㉦慦ㅥㄶ㙥㕤㔸て㐲换ㅤ㥤慣㔵慢㔶㌹㜴㙡㕥㌰㍡敥晢收晡慣ㄳ㠴㔹㌴挸㉦㌹愸て㜲㑢㠱昳㔹慢戰戴㘶昹〱ㅡ攵㌲㤹㐲挱搰㔱捦㠷昰㌷ㄸ摦ㄸ散搵摦〳戰㌸㌹㌱户㝣ㄹ㑦㕤〸㙢扥㜵㜸昸扣敡㝢㝣㙣㙣㜴㙣昴挱戱㈳㐷㐶㡦ㅣㅥ㥥慣㔷挳扡㙦ㅤ昷慣㝡攸㥢搵挳挳昳昵攵慡㔳㝥摣㕡㕦慣㕤戱扣攳搶昲㤱〷㤶捤〷㍦㌵昶攰戱㘳昶挳て㝦慡ㅦ慦捥㥣㤹㥣㤸昷㉤㍢㜸㥦㥥㤹攳㤰ㅦ㥣戲捡づ攷㘶㔹扥攳㕤ㅡ㥤㥣挰晦㠹昱攳敥愱搱㠵ㄵ换ち昹㙡换户扣戲ㄵㄸ攸搸攷㡥〷㐱摤㕤攵攲ㄹ敥㌴愶㕡㌶㠳㌰攷㑥㕡搵慡攱挶㑦㉤戸㜳㔸扢慡戹摥敦㉥㔸㕥攰㠴捥㥡ㄳ慥攷摤㐵㍣愸㔲㜲捦〵搶㔹搳扢㘴㥤㌱㕤㉢攷㥥慣㍢㤵ㅥ㜵㘵戲㜷挷㡦㐸づ㑣愶㍦㍡ㅥ戸㤳㉢愶㉦㈳ち戸㌰㈹㙤愷晤㜲㙢摢㍢㍡㍦㤷㐳㤷㌷昰㤹㜷㜵㙥㠷㥡昳愶摦㘸㌹搲戹㘵㌴昹搶ㄱ摣摦戹㝤㘲㡤㕡晢摣摢戹㡦㉣㘵㙢㙢慤㉦攲㙦㔹㔱㑣挶挸ㄳ昴ㄲㄴ〸㐸㐰愳㐸搰㐷搰て愰昵晣㌷愴㈴搹㤱㔵晡㤲愹㉦㉤敢㑢㘵㝤愹愲㉦㔹晡㤲慤㉦㕤搲㤷㔶昴㈵㐷㕦扡慣㉦㕤㐱㥢昸㉡昴昶敡搱昵搳敡㠱ㄳ摦愹摥㜹敡㍢㤳昷㕤ㅦ晣敥㕢晦摣扦〷㡤㥥㠸〶㌵攵㥢㔷挱㙡㑤㉥㍥㍡ち㤹搸㡥㔴㐰㈸散㘳昶㐳昶搸㔸攵搸ㄱ昳〱㌳挷㘹愵㄰扦㠵㔱〶搱戶摦扥攰㜸㤵摡㔵愱摤慤ㄳ㘶㘰㌵ㄷ㙥㈴慡㥢愸搵扤㑡昰㤱捤㉢ㄷ㐲㌳戴づ戵搷㌵ㅦ戲愱摢〲挴捡ち攴㝤户戵㜷㍢㙦㔶敢搶昸㌵㐷㔵㝦戴慤摡㥤昷㙢换㥤㙢愷㝤敢搹㐶敤㠶ㄱ㡤㐳愹慤挹戳㌷捣㔲㔵愹㜱つ㑦慥搴〲换㤳攱㡤戸昳㑥昹㡡攵㉦㔸㔴㠹㔶㐵愶㝡㌳慢㈲愹ㅦ㤹昳㌰㔱㐸㙢攵攳㐹慣晤攸戵㄰挲㙣㔵㌰摥㔵换て搷ㄷ捤攵慡戵扦愵㠹㝡㈷㉡づ戶愰愷㙢攵㝡㌰㔹昳㐲扦㔶㙤慤ㄹ慦慣㤹搰㌴㤵搳戵㡡搵搳㤳ㄱ愵〰㠵㥢捤㙡㕡收扥捥戲㈰㠴㐸㤰㤸㠲㝣㑢㉢摢㡤㥥挵散㌰㡢慡㐵㥥搴敦摣攲㘱ㅣ慦攸㤸ㄴ〹㑣捣㠹昶㠳㉦扤㘷㡢挷㌶㈸昷挱㌶搶昵愱㘸昶㡦慥㔹㕥㜸捡昴㉡㔵换㑦戵㝥ㅡ㐷㘴っ〰攴㙥㐰㈱㜴㕣㍤㥡㍡敤㥡戶㥥扢敡㔴挲㤵晣㡡攵㕣㕡〹㠱㠳㠵㉣ㄴ戸戴ㅢ㉥攳㈶愰㡣扤〴㐳〰挵㘲㈶扦㡦㡤昲㐵㕣㤹ㅣ戵㔳㡡㉣户㈸㜲昶㙢㤱攵㝥㝢摡愹㠶㤶㔲捡〳㌶㈸愲慣㥡㤰慦㐴ㄶ昵捤戲㌲ㄸ晢散㐹㜰愹改㜸攱㝡㔳㙥㌷㐸㠹㘲愲㕤㕤戰攳㜴〱㔵㐱慢㍥㐸㤱㌵㌰㑤㥢㌶㐸㙦㥣㘰㈲㡡㐱㡡㘵挷㤳㕢㤹㡣敤㔳㜴〴摡㈷㤹㤰慤㡦㜴搶ㄱ㘴昶㡤㑣捡㑥ㅤ攵㜱㔷㥢㙤收换㉢㙤㜶㌳ㄶ捥搸㑦㜰㠰攰ㄶ㠲㠳〰摡㑦愱攱愸攵㔰㙥扤㡣㡦攰摥戸㤵攰愳〰搰㑦〶㜵㑥愴慡攸㐳㙤挷㡦㘴扢ㄲ晣㘴㜱㡡㤵㉡愲㘷摣昰㌳㑢慥㄰㍡昲㍡㜷㠶慤敤ㄱㅢ晢㠹捥扣㤹㥣づ㌹㌲愵㘹㜲慥㕢㌴㑤㉥〴㥢㜶㘹户㙥㐷㔷㘳㤸攰㘳〰㐵攳攳㠴㌰㉥㜴㜸户攷搱搳愵晣㔰戸㐵捡ㄹ敡搲挰㐷㡣捣㉤㐰㡡㤲摢戰㝤搹昵愱改づ㡥搸ㅦ㝡ㅦ晡㜰㘷昹㡥㠸摥㘶㌷㜷敤づ攳㐵敦搲㡢扥〳攲愵晤㑢㐷ㅢ㜳ㄷ慡㡤㑦㄰摣つ搰㘶㘳戸晢㝥户㤱〲㜱㡢摤〴攵昶㌲敡㈲㕥敥攲晡慡㈵ㄶ愸摦㕥㌴晤㑢㔶㠸〸挶捣ㄴ㝣攱㥡敦㕢㔵㙣㙡㉢㠲攰晥攵㐰㉢㌲㤸昶㙢㉥昱扢㍥㜲昰愱㌰っ㍤㍤㝡㌶搳收㈳愷昸㥡㠹㤸㔳㠲㜳㘸㠳ㅦ攸慣㈴ㄲ㥤㕡搹㡢晤搲昷㤷扢㥡愴ぢ㑤㜲㉦㤶搵戸て〰㕡㐲晢挷㡥ㅡ攵㌰㥢晤㤲㌴㙢昵㔸ㄹ攱㑢搹㥤戴挵㄰㌷攸㤱㍥ㄵ戰㥤㐰晣㈰㈸戹ぢ㡥摢㔰ㄶ㝤敥扣攵㤷ㄱ㕢㜰慡㔶㔱㠵㘵愹㙡㜶㜵挵㠷㐴㔷㘴戳ㅢ昶搳㈹昱㌵攱㤳㌶㉤㤱㉡敤愹㤵㈹㝢昱㈶㔳㌱っ㐹愵㤲ㄲㅡ㙡㘸㈰㜲ㅥ摢敥慡㤸㉥㔴捣晤㔸㌸攳〸挱ㄸ挱㔱㠰摣㡦愰㘹戶扢昰㑣㠷昵慥㌱愴扤戴㤴㈹㤰っㄲ㈲㝣扢愳戲㍡挶搷㝣㤲攰㈱㠰㌶昷㠷〱挸ㄴ㐶ㄴ㤲㈷ㄸ㔱搲ㄸ昶㜹挷扡㑡ㅥ搸㘳㈳戱㌴㔹て挲㥡换捣㔲挹㥥慡㥤愹㠵㔳㑥戰㡡㑣搴㤰ㅤㄵ㉥慣㔸ㅥ戸换㠷敦搳㠶慢慤慥㕡ㄵ挳㕥愸搵愱摡㘶愶㜶挲挶ㅣ换〱㕦㔲昶收扡㠶慢扢晤㌱ㅥ愱㘱愵㈵摥捡㘸散戶愲摦摣昴つ㌴㔷㜴搱〹慢㔶㥦慤㠴㡥攵㠲㡤㔵㐴收愰搲㙢㉦慥昸㤶㌵㔵戲㑦晡㑥愵敡㜸ㄶ㠹〱ㅦ㤳挹扡㔹敢ㄲ戲〴昳㌵收〰㙢㕥挹㕥昴㑤㉦㔸㌵㤹㔰㕣摦摢㜲㈷㘹㤱㥣㍤攱㜸〱㕥㈳㔴㘴㜹挰㕥㔸愹㕤㐵挶戶敥㝡㈷捤搵㘰㐷㔰㠵㑣慦㉥㈱㡤愶㙢扡慥ㄵ昴㐲户昴攱㠶㍣㤳愱散昵㄰〸慤㌲㌹挶捣㔳慣㌷晤晡㈸㐷㐳㍦㥤㘳敡㐷昶愸㠱捣愶㙡㘱㑡慡昱㌰晢㝣ㅡ攰戱㤳攷㘶㥡㤹戹昷㤴戳捥㌱捡㥦愲攳㠵㉤ㅡ㠹㄰挶攸昶㈸㔶㈱㡥㥣〳〹〴挵㜹搷捥㝥㐵㕢摡㤰晢昶㌴㡢搳挸㈴昵摢戳收戲㔵㐵㍥摡㌵挳㍤敡㠶㙥慣㙢㔶㠳愸㙥戲收扡㈶㔹㡢㙣戹㔰㌶挹挱攳昵戰㜶摡昱っㅢ㐰昸㉦㐲㤹搷㠰㌲慦〹慡摦㍥换搴愰㤴昹慣摡㈵搳㜷挲ㄵ搷㈹ㄷ㜸挳昴摤㡥攰㐹〸㌹㌵㙦㝣挵㍡㘳戸捤㥢㍦〷㤷㉤ㄸ〵戹㐷愱㐷戹㜴㈴㍦㌸㔷搷昲昸㑦敢㌲戰〴〵㈳㤱㔲攳ㄱ㍣㉤㈷愷㈳愰㜲攴扡ㄱ㥦挱戸昱ㅣ㌰㑡〹㤱敡㈹㉣㠲愸㘰㐲挹㌳挴㥤户捦㜹㑥〸敡㤱㘲搳㑥㌸ㄵ㠰攴〰㈸捡昶昶㤰㔰㌵搱㘹愴㘱ㄵ㙥摦㔸搵㘲㈶㙥摢㔸㥦戴ㅢ㜷㙥㔲慤㉣㑡挲㤰㙣搵㐸㉣换㈶㘳摣㐹愶㐶ㄳ挳ㅤ㕢ㅢ㉤㉤㙣摡㕣㜷㙡㤱昷㘰㤸㠴㘷㌲挶㘷㠴㔱㤰攸㡤㙣ㄴ㘳昶改散㤱挸搸搰〷㈸搲㑥㈹㕣㈹㑡〹捥攰搸㐹挵㉡㐶㜷㤰敦㍤㔱㜱慥ㅥ戶搴㤸搷㠶愲㥡昱㙡㜵捥㠳㤷㔰㌶晤捡づㄱ㘹捣㑤㔹ㄸ㤱捥㙥慤扦㕡摥㠴㈰㐶㘲挸戴㐸㑡ㅣㄸ㘲〸攱㑡㘴㔴改㥤㤵戸搴つ㜴㠱㜷愷㉤搳ㄳち㉣㠴㤵㈹㙢㑤摣戰愶㈷㍦㈴ㅤㅡ扢㐵搱愳㠶㍤扥ㅣ挰愴㠷搴攳㔱㐹〴摣戰捦㌲㉣㠵㐳っ㔰扢㔱㘹扥ㅣ㈲戵摢㜸〰㜷〶㍢㠷㍡㔸ㄱ㤵㍡愱㜷㐶つ㥡㑦㘱摣搶㐹㔰㜶扡愴㈸ㄴ愹㉤搷㝦㥤搰扥昶㈲慦㙦㥥挸挴㠵㐸㠸㤸敥㑡昱ㅥ㐰摣㘴㘶㤲㔲㌴ㄴ㈷捣㤵㘶ㄳ愵搵ㅦ攳攸㘲㤴攸昲昹㈱㑥昱㌰㤷㌵㐰戱愹攲㥣㕢攸挰㥡㔶搷昷搸㌳㕥戹㕡慦㔸㘲㡡㘳㕤㉤ㄶ㜹㐷搰㑢㡥〰㉡㘹㑡㔹㤷㘸㔱㘶戰㤵攲㤴㐹愴敥晤㙥攳〴扡㡢㤲挳㌳㤴改㘳〲㌲㈵㉣㈷〹戱つ攷ㄴ攸ㅦ敥㙤ㅥ㘰㤰挳㜳㔰㘹ㅢ㔰搴㘵戳㌸㡦搷挸㈲㡢戴㈵㥡捤搶㘶㙢昴搹ㄳ愸㔳㡥㐲敤〸ㅡ㘱㥥㑡攱攵昳㜰㐶扡㤴づ㍥㈴㜳㈳捡敥摥㜸㑥㙥㌳㌷㐰ち愱㠰挶ㅣ㉦㜷㐱ㄹ慣㉡〴㠹づ户摥昴扡㌵㘶㝦改㜹ㅢ攳〰ㅡ搳挰㜴㘸搱㔲㌹㌸㤳㈸㙦敤攰摣㡥㔶㈹ㄹ搲㘴㌲㤵㌹捡㈱〴散㐱㌴㐸ㄳ㌷搲㡢㌵ㄸ愱㜰㥦ㅣっ㡢捦㈶㡥戸搸〲搵晣晤㙤挸㜹㌳挴昱ㄷ敦㘰ㅢ㝡扣㔲愱扢㡢昸摣㡥愰㉡㡥㙥㈸㜷㜴㕦摢愱㉣㤹ㄳ晤扢㍢摡㉡愲挳㠲㐷愷㐶㑦㤹㘱㜹㘵㈱㕣㔷〷户扡㘵㠹摣昷ㄱ㡦搸昴敤昴㤹㝢㍣ㅥ㐴㕤攳摡ㄷ慦㜸戵慢㥥㡣㉢ㄷ昰搴ㅦ㌸〴㐷㈸㝢㌹挸㘲收ㄷ昸㑦㉥㍤㤳晢ㅥ㥥戸㥤㘱昳〱捤〰〹㥦挳㑢㉢ㅡ搳昸挳㈴昵㌰晥愶昰ち晣昷挶挹〱昲捡扥㌶㕥ㄱ㘵戰换㉣摥愵昷㡤㔹戴㌷㐱㕡㌲っ〸ㅥㅦㄲ搱㌳摡ㅢ戸㈱搱㜹扣〳攴㥢挱ㅦ㤲敦㘳改攴ㄳ㠵ㅥㅤ昵㘰捦晦㍦㤴㡡愵㝡㔳戱晡㕦㄰㙡敤㜵㄰㐳挸〴㈲㌵攴㔲晢㙥㐴㈶慣㌵挹㌴㡢㍦捣㥥昰㐸㠸挸昲改愸挰㥢ㅣ㔳戵敦㉡㈹捥㜹敤㙥㐶㍦昰挳扦晦㠷㥢搱㌹㔰㤸㤷昸㙢㘰㥣扢㔰㙥戸ぢ搹つ敥〲ㄳ昹攲㉥捣戳て㌳晡捡㕤㠸攲㈱㘷㠱搸摡㕤㘰㥥㉦挵㈹㑣愴㕤ㄳ㈱づ敥挶昶扢㡣㤵㥤挲㈱㕣㉢㐰㙥ㅦ〶㉣㤸㐴㜴敡挰㐶昴扣改㥢敥㐱挱㥦昴㉤ㄸ㌶㝦ㄱ愷扡愵ぢ㝢ㅣ摡戴㐶㍡㙤ㄲ户㠸㈳敥扢戱㤵敤㥤㘵〷愵搴愵㐲昹㕡㐱换扦㠷愸㠹挶㍤㐴收㜳晢晥散攴扦㝥昶㡢㈷㜸㜲㉤攲搵ㅣ㔳挵摤愴敦改㔷㈰挱㥢㌸㌴㜲㌳㍦搲㌹㡤捦㤵㥣搵慡㌵㘱晡攲ㄱ〵㠶ㅢㄷㄵ攳㈵ㄸ㔳㌱摦㑥㜰㌷㜱〶㐲戹㥢愳㙤愱㑦昹挸㐹挲㠵愳㠹㠱㑢㝣㉦㑥㈱㙡ㅤ㡤㔹㤷㥥㘷敥摢㌰㐷敦㜲㈰慤ㅥ㈳㜷愰扣㌴敤㕢戱扤㔳㠸㑣收ㄸ㉣㥡摡㔶㙡㍣〲㄰㙢㈹攴㈲挸㈱挹㑤つて〷㠸㤶㍡㠷㐲敥㝥㠰㤴㉣㕢㝢扡㤷戱㠱㕤㈵㘰㌵づ〰㜶昹㐱ぢ㔶ㄱ㔴㡣攳昲摤敥㙥ㄹち㠸㑤ㄳ搳戶攲搳㥣㐷㐱㌶㌲㐴㡣挵搸ぢ㈸挴㔷敥㈸㑡摢づ㑤昱㈵㈵㔷㈵攱㤴㘰攷㕣挶摤㡡敥愳㕥ㅤ愷㐰㘰㘷昲㘲㌰扣扤㐴㘳㜳㉡昹㍡搵戴愸㔰㠴〳慡搸攸搴ㄷ㔵挱㘶㜹〷戱㐳㐵㈲㤰㕦つ戱㝥愴昹攸㥢摢㙢㘸攳扣㕥㑣㤰㍦昸㕦户愵〸㌶摥㑡㠹㠱㠶摤㔶慢㠲㍡㉡晥㈴扡㜰搲ㄹ捤㘸ㄶ攵㕥㘳扥㍡㤶慣慣扥挱晥㌳㤳㉤㤲昵ㄴ㝢㌳愵摤㘲晦㥦〶㘲㑢晢慦㍤捣扥昸ㄹ捦㐴〵㜱㑥㤹㑢搹㌲㝤挳ㄵ㐱㤴ㅢ㠹ㅣ搹㈴ㅢ㔲㘴晡㕢㤵ㄶ昰㈱慢慡ㄶつ㡥ㄸ㔸㑦晢㌱㠹㐶㕦晡戶㝤ㅤㄵ㈰昳㐴戹搷愰㠲㍡昶㙦搵㕢昱㑥㌷晦敢攸戸敦戴㔳昶㙢㐱捤づ㠷ㄷ㤰〰ㅥ收㜷㘸㌶㝣㥥㜱敤㤵㜶愵㜶〷㔶愲晦㈲晡㥣㤹㠳挲㍥㘳㠵敦㔷㕥㤲㔹㠶敤㘵㌵昸㑤搲㘰㈲搵㐴敢㄰摣㘴㍦㔱㌷慢昸㡣㜵づ㜱捦㤰愸ㅤ㘱散㔴昴戹晤戴〶㤷づ攷戵ㅥ㐷㙣挸慡㡥㈲㔱㈶㔳㜸晡搷戸慥敤㙢搰摡㌶㥡㕢挰㤶摤挵摦㡡戹㤷㐱搳敤扤愵㤵㘵昸㑥㝥㥤㕣㌴㤶〹戱戹㐶搰㉥㉤㠸摤ㄶ慣攵搳㠶挰攷搱挷摤っ㡡㡤㔴ㄱ㑡摢㐶㈶扣㡣慥摡㌸〱㝥㐶㈵㉡昰㐶㘳挴㡦愲愸晤〹愶㐵〱㐰ㄹ㝢㐰㠰捥㕣晤㈲㥡愹〸〲ㅢ攳㈲㔷㙢搳㈸挸昳㔷㔰愰摦挶㥦挶㐰㠲㘰㥤㈴㤶晢㔶挱㕥㑥㘰〷戹㜹愵挴ㅢ㔷〰㑡㔹㡤㥢ㄵ昲㜵㔱晢㘳扣昱㘵晣搴晡戹挴㘱昳㈲㥢ㄲ㤴㡤愴㉤搰戸㈹㤱ㄹ晤ㄱ㍡㌴㘶戴ち㙣攷ㄹ㝤ㄵ㑤㌷捥㠸敥㠴㡣㌲昹晣挱搸ㅣㄹ〱㕦ㅤㄲ搴〹搶〰〶攳㤶〳㔴戴㥣㑢㕥㈵㉥摥㈴慤㜱晤㐳昴昷㥤ㄳ㍦㝡㥢搷㝦㥥搰㐴戵愲慡㜵ㄶ㔴慤㌲㡢㉦㈷㘷戱づ㙣攷㔹㝣㘹戳㔹っ㍥㠳㍥戲慡㥦㐳〱慢㑡敥㤳㔹㕤㐷㠱ぢ捡㥦㔶㡥戱昱っ㜰㥦ㄹ㈴慢㐸摦摦㐰愱㤴ㅤ㈴㘹ㄹ攷㌱㥥㈳㜸㥥攰昳〴㕦㈰昸㑤㠲㉦〲㤴昴㐱㔲㕢ㅡ晥ㄶ㤱㕦㈲昸㙤㠲㉦ㄳ晣づ挱敦〲愰㈱ㄹ㐰ㅡ㝥㠵挸摦㈳昸㝤㠲㍦㈰昸㉡挱ㅦ〲㤴昴ㅣ㜹攲㤷㍢㥢㐶㝡扥昱㌷扤㄰㥣㤶㡦㜷ㅦ挵挷戸敢㍡晡㘷昱㙦ㄱ攴挴㡥昷攸㥦敥敥㔹戱㉦㑤㌳㥣慢㘱挱摦挳㜳㐸㠵㘶昰㤴㑦㍣㠴㕦〱戲㐴づㄷㅡ扤㠰㐲㑣愳ㅣㄹ㉥攵ㄳ㉤昱㙣㜹㥣㤵敢㤹㔷㈱昵扣昲㘷ち㙥ㄴ㑢摦ㄱ㕡ㅤ㔳攲㌷捦ㅤ㡤㜱扥换㜳ㅡ㥡ㅢぢ挰愹㔳捤搰㘶㐳〰㔵㠲㠴〲换㠵搴慡㜱攳㍦㝦扤ㄹ㘰㐳〵㉥㐸愹㙡㑣挱㤶挶㔷攲挶㐷昱㙤㥤戴挹㤰愱㜸扤ㄳ㌷愶〲㤰挶㤷攳挶晦㜱昴㘰愳㜱㉣敦敡挹㌹ち㘳捡㉥㐵昶㙤㠹敦散〷搰㍣㘷搳昳改戳ㄵ㥡㡣㈸〷〰慡攲晢昴攳㐸㡦㡦㉦摤㘷㜱㐲つ〷㜹㘰ㅥ搵㍦㜸㌱㠳㤳㙢㔳㘶㘸攲㐳昶㌵ㅣㄹ昰つ戹㘳攷扣㍤攷〳搱㙢捦〴搸つ㔷㜶ㄴ㡢挰㤱敢㔱敢扢㐵㙡㈵挵改㙦慥㐷㥣敡搴㜹ㄲ愸㍢戳㉦改戱ㅥ㙤㈵愶㙣收昹㈶捦ㄸ㉦㠲㌸㌰㐷㠰㉣ㄸ㕦〳㔴改㌴㥥㌹捦っ㔲捦㡡ㄲ㝤㠹ㄵ㝦㑡昰㜵㠰愲㐶愵㑡㍥挸扦っ㌰㄰晦㜳㈳挳㙢ㄲ改搲戵㡢昱换㤲㙣㘴扣挲づ慦〲㘴ㄱ㝣搷㈲㈶㉣ㅡ慦〱㤳㜸愹㐶〵㑤㤵愹㍤㡤愷㔰㑦㔱㡢ㄴ戵攷㘳昴慦㐶㘸㍡晦㐵敤昳㌱晡愹〸扤㕦搰㕦㠸搱㑦㐶攸〳㠲愶愲㤷㘷㕦㠸搰昷〸㥡慡㕦搰攷㈳昴扤㠲愶〵㄰昴戹〸慤㐶㐲㥢㈰攸挵〸慤㐶㐲㉢㈱攸㠵〸慤㐶㐲扢㈱攸戳ㄱ㕡㡤㠴㤶㐴搰㑦㐴㘸㌵ㄲ摡ㄶ㐱捦㐷㘸㌵㤲慦挴攸戹〸慤㐶㐲愳㈳慤捦㐴㘸㌵ㄲ㥡㈱㐱㥦㡥搰㙡㈴㌴㑣㠲㥥㡤搰㙡㈴㌴㔵㠲㝥㍣㐲慢㤱搰㜸〹晡戱〸㉤㈳ㄹ愴㕡ㄷ㤶昸ぢㄴ㡣㌷〸摥〴㈸收挸㑡摢收㘹㜲㕣㤷ㅥ攱㕦愲慢㐶㐶攵㌳㡣敦㐵〵摥㘸攴㔲ㄹ昲㔴㌴攴㐷㠰㈸攸㜹㡤㥣㉢ㄵ㤳㔱挵㜱愹搰㌴㜲戳㔴㑣㐴ㄵ㈷㠰㌰晥ち㐰㝢〵㠰㜳㌲摥攲摤㙢〴扣晢㐱㔴㤰ㄷ㜲つ愴晢㘷摡㕥挸㜵㤱㡡攳㙤㉦攴㕡㐹挵㈳挹ㄷ晥つㅦ㉡ㄳ㐳愱挵㥢ㅡ攴〴㘵扤㝦㠸㐲㈹㍢挰戱㕤挰㑦扦愶㤵㉦㔶㉥㕥晣搹㐰捦昰愱㥥㈷㝦愵晦挵㜷晥晥㈷㉦晣昸㤹攳晦晥昳㤷㕥晡昱扦扤昰昶捦扦扦㝣晣㠷慦扥晡搷㡦扤晣昶㑦昶摡摦搰㕦晦搹散㌷慥㡦㕤戹晥慣㝤敥扥㤳搷㥦扡晣挴搸晣㑤㈳搹㙣㙦敦摤㐳㝦㝢换㍤㠳捦㍦晢㠶昶㠳㝦㍡攰㘹㙦攱攱㌲㔳扥㈵扥〶㌹㙤ㄹ挶摦愱㠰㘱㜰挴ㅦ攸㌰㌸㕤㔹愸㑦㐶ぢ㌵〱〴ㅤっづ㐰㉡㡥戵㔶昴晤て〳㠸㘰㐹</t>
  </si>
  <si>
    <t>Decisioneering:7.0.0.0</t>
  </si>
  <si>
    <t>65f5f8e8-aeaa-4812-aac9-d6879d8d53f9</t>
  </si>
  <si>
    <t>CB_Block_7.0.0.0:1</t>
  </si>
  <si>
    <t>㜸〱敤㕣㕢㙣ㅣ搷㜹摥㤹攵㉥㜷㤶愴㐸㡢扡㔸㡡㘳㌳㔱ㅣ㕦愸搲愲㙣挵㜱㙡㐵攵挵㤴㘸㔳㈲㉤㔲㤲ㅤ扢愱㠶扢㌳攲㐸㍢戳昴捣㉣㈵㈶㐶敤㕣㥡㝢㥢搶挸㡢ㄲ户㡥敤愷〲㙤㠱㍣㐴戵㥢〰㑤㠰ㄶ㘹ㄲ〷攸㐳晡㔰愰て㑥㄰戴て㉤ち〱㝤挹㐳㠰昴晢晥㌳戳㍢扢攴づ改戵摤搲〵挷摥㥦㘷晥㜳捥捣㌹攷扦㥥晦㍦愳㡣㤶挹㘴㝥㡢㡢㝦㜹㜵戱㜰摢晣㕡㄰㕡敥挸㐴戵㔲戱㑡愱㔳昵㠲㤱㌱摦㌷搷㘶㥣㈰捣愲㐱㝥搱㐱㝤㤰㕢っ㥣㑦㔹㠵挵㔵换て搰㈸㤷挹ㄴち㠶㡥㝡㍥㠴扦㠱昸挶㘰慦摥㉥㠰㠵㠹昱搹愵换㜸敡㝣㔸昵慤挳㐳攷㔵摦攳愳愳㈳愳㈳て㡣ㅥ㌹㌲㜲攴昰搰㐴慤ㄲ搶㝣敢戸㘷搵㐲摦慣ㅣㅥ㥡慢㉤㔵㥣搲㘳搶摡㐲昵㡡攵ㅤ户㤶㡥摣扦㘴㍥昰搱搱〷㡥ㅤ戳ㅦ㝡攸愳扤㜸㜵收捣挴昸㥣㙦搹挱㍢昴捣ㅣ㠷晣挰愴㔵㜲㌸㌷换昲ㅤ敦搲挸挴㌸晥㑦㡣ㅦ㜷て㡥捣㉦㕢㔶挸㔷㕢扥攵㤵慣挰㐰挷ㅥ㜷㉣〸㙡敥ちㄷ捦㜰愷㌰搵㤲ㄹ㠴㌹㜷挲慡㔴っ㌷㝥㙡挱㥤挵摡㔵捣戵㕥㜷摥昲〲㈷㜴㔶㥤㜰㉤敦㉥攰㐱攵㍥昷㕣㘰㥤㌵扤㑢搶ㄹ搳戵㜲敥挹㥡㔳敥㔲㔷㈶㝢㔷晣㠸攴挰㘴晡㈳㘳㠱㍢戱㙣晡㌲愲㠰ぢ㤳搲㜶捡㉦㌵户㍤搴晥戹ㅣ扡扣㠱捦扣戳㝤㍢搴㥣㌷晤㝡换攱昶㉤愳挹㌷㡦攰扥昶敤ㄳ㙢搴摣攷㥥昶㝤㘴㈹㥢㕢㙢㍤ㄱ㝦换㡡㘲㌲㐶㥥愰㥢愰㐰㐰〲ㅡ㐵㠲ㅥ㠲㕥〰慤敢扦㈱㈵挹㡥慣搲ㄷ㑤㝤㜱㐹㕦㉣改㡢㘵㝤搱搲ㄷ㙤㝤昱㤲扥戸慣㉦㍡晡攲㘵㝤昱ち摡挴㔷愱扢㕢㡦慥ㅢ㙥㜵㝣昲愷搶攴つ㙦昱搰㤱㕦散扤摥扢ぢ㡤ㅥ㡦〶㌵改㥢㔷挱㙡つ㉥㍥㍡〲㤹搸㡡㔴㐰㈸散㘳昶㠳昶攸㘸昹搸ㄱ昳㝥㌳挷㘹愵㄰扦㠹㔱〶搰戶搷扥攰㜸攵敡㔵愱摤㙤攳㘶㘰㌵ㄶ㙥㌸慡ㅢ慦搶扣㜲昰扥㡤㉢攷㐳㌳戴づ戶搶㌵ㅥ戲慥摢㍣挴捡ち攴㝤户户㜶㍢㙦㔶㙡搶搸㌵㐷㔵扦扦愵摡㥤昳慢㑢敤㙢愷㝣敢㤹㝡敤扡ㄱ㡤㐱愹慤捡戳搷捤㔲㔵愹㜱つ㑤㉣㔷〳换㤳攱つ扢㜳㑥改㡡攵捦㕢㔴㠹㔶㔹愶扡㤷㔵㤱搴て捦㝡㤸㈸愴戵晣挱㈴搶㝥攴㕡〸㘱戶捡ㄸ敦㡡攵㠷㙢ぢ收㔲挵摡搷搴㐴扤ㄳㄵ〷㥡搰㔳搵㔲㉤㤸愸㝡愱㕦慤㌴搷㡣㤵㔷㑤㘸㥡昲改㙡搹敡敡捡㠸㔲㠰挲捤㘶㌵㉤㜳㙦㝢㔹㄰㐲㈴㐸㑣㐱扥戵㤹敤㐶捥㘲㜶㤸㐵挵㈲㑦敡ㅦ摡攴㘱ㅣ慦攸㤸ㄴ〹㑣捣㠹昶㠳㉦扤㝢㤳挷搶㈹昷敥㌶搶昵挱㘸昶㡦慣㕡㕥㜸捡昴捡ㄵ换㑦戵㝥ㅡ㐷㘴昴〳攴㙥㐲㈱戴㕤㍤㥡㍡敤㥡戶㤶扢敡㤴挳攵晣戲攵㕣㕡づ㠱㠳㠵㉣ㄴ戸戴敢㉥攳ㄶ愰㡣摤〴㠳〰挵㘲㈶扦㠷㡤昲㐵㕣㤹ㅣ戵㔳㡡㉣㌷㈹㜲昶㙢㤲攵㕥㝢捡愹㠴㤶㔲捡晤㌶㈸愲慣㥡㤰慦㡦㉣敡㥢㈵㘵㌰昶搸ㄳ攰㔲搳昱挲戵㠶摣慥㤳ㄲ挵㐴㍢扡㘰摢改〲慡㠲㘶㝤㤰㈲㙢㘰㥡ㄶ㙤㤰摥㌸挱㐴ㄴ㠳ㄴ换㡥㈷㌷㌳ㄹ摢愷攸〸戴㑦㌲㈱㕢ㅦ㘹慦㈳挸散敢㤹㤴㥤摡捡攳㡥㌶摢挸㤷㔷摡㙣㉦ㄶ捥搸㐷戰㥦攰㔶㠲〳〰摡扦㐱挳㔱换愱摣㝣ㄹ敦挳扤㜱ㅢ挱晢〱愰㥦っ敡㥣㐸㔵搱㠷摡㡡ㅦ挹㜶㝤昰㤳挵㈹㔶慡㠸㥥㜱摤捦散㜳㠵搰㤱搷戹㍤㙣㙤㤷搸搸て户攷捤攴㜴挸㤱㈹㑤㤳㜳摤愴㘹㜲㈱搸戴㐳扢㜵〷扡ㅡ㐳〴ㅦ〰㈸ㅡㅦ㈴㠴㜱愱挳扢㌵㡦㥥㉥攵㝢挲㉤㔲捥㔰㠷〶㍥㘲㘴㙥〱㔲㤴摣扡敤换㡥て㑤㜷㜰搸㝥捦晢搰㠷摢换㜷㐴昴ㄶ扢戹㘳㜷ㄸ㉦㝡㡢㕥昴㈱㠸㤷昶慦㙤㙤捣㥤愸㌶㍥㑣㜰ㄷ㐰㡢㡤攱敥晢慤㐶ち挴㉤㜶ㄳ㤴摢捤愸㡢㜸戹ぢ㙢㉢㤶㔸愰㕥㝢挱昴㉦㔹㈱㈲ㄸ搳㤳昰㠵慢扥㙦㔵戰愹㉤ぢ㠲晢㤷晤捤挸㘰捡慦扡挴敦昸挸挱㝢挲㌰㜴㜵改搹㑣㡢㡦㥣攲㙢㈶㘲㑥〹捥愱つ扥扦扤㤲㐸㜴㙡㘶㉦昶㑢摦㕦敥㘸㤲づ㌴挹㍤㔸㔶攳㕥〰㘸〹敤㥦摢㙡㤴挳㙣昶㍢搲慣搹㘳㘵㠴㉦㘵㜷搲ㄲ㐳㕣愷㐷㝡㔴挰㜶ㅣ昱㠳愰捦㥤㜷摣扡戲攸㜱攷㉣扦㠴搸㠲㔳戱㡡㉡㉣㑢㔵戳愳㉢摥㈳扡㈲㥢㕤户㥦㑥㠹慦〹㥦戴㘸㠹㔴㘹㑦慤㑣搹㡢㌷㤸㡡㘱㐸㉡㤵㤴搰㔰㕤〳㤱昳搸㜶㐷挵㜴愰㘲敥挳挲ㄹ㐷〸㐶〹㡥〲攴㝥〶㑤戳搵㠵㘷㍡慣㝢㤵㈱敤挵挵㑣㠱㘴㤰㄰攱ㅢ㙤㤵搵㌱扥收㈳〴て〲戴戸㍦っ㐰愶㌰愲㤰㍣挱㠸㤲挶戰捦㍢搶㔵昲挰㉥ㅢ㠹愵㠹㕡㄰㔶㕤㘶㤶晡散挹敡㤹㙡㌸改〴㉢挸㐴つ摡㔱攱挲戲攵㠱扢㝣昸㍥㉤戸敡捡㡡㔵㌶散昹㙡つ慡㙤㝡㜲㍢㙣捣戱ㅣ昰㈵㘵㙦慥㙢戸㍡摢ㅦ攳ㄱㅡ㔶㕡攲慤㡣挶㙥㈹晡捤㑤㕦㝦㘳㐵ㄷ㥣戰㘲昵搸㑡攸㔸㉥搸㔸㐵㘴づ捡摤昶挲戲㙦㔹㤳㝤昶㐹摦㈹㔷ㅣ捦㈲㌱攰㘳㌲㔹㌷㘳㕤㐲㤶㘰慥捡ㅣ㘰搵敢戳ㄷ㝣搳ぢ㔶㑣㈶ㄴ搷㜶㌷摤㐹㕡㈴㘷㡦㍢㕥㠰搷〸ㄵ㔹敥户攷㤷慢㔷㤱戱慤戹摥㐹㜳㈵搸ㄶ㔴㈱搳慢㑢㐸愳改㥡慥㙢〵扤搰㈹㝤戸㈱捦㘴㈸㝢㕤〴㐲慢㑣㡥㌱昳ㄴ敢㑤扦㍥捡搱搰㑦攷㤸㝡㤱㍤慡㈳戳愹㕡㤸㤲㙡㍣挴㍥ㅦ〳㜸昴攴戹改㐶㘶敥㙤攵慣㜳㡣昲愷攸㜸㘱㡢㝡㈲㠴㌱扡㕤㡡㔵㠸㈳攷㐰〲㐱㜱摥戵戲㕦搱㤶㌶攴扥㕤㡤攲ㄴ㌲㐹扤昶㡣戹㘴㔵㤰㡦㜶捤㜰㤷扡愱ㅢ敢㥡㤵㈰慡㥢愸扡慥㐹搶㈲㕢捥㤷㑣㜲昰㔸㉤慣㥥㜶㍣挳〶㄰晥㡢㔰收㌵愰捣㙢㠲敡戵捦㌲㌵㈸㘵㍥慢㝡挹昴㥤㜰搹㜵㑡〵摥㌰㝤户㉤㜸ㄲ㐲㑥捤ㅢ㕦戱捥ㄸ㙡昱收捦挱㘵ぢ㐶㐰敥ㄱ攸㔱㉥ㅤ挹て捥搵戵㍣晥搳㍡っ㉣㐱挱㐸愴搴㜸ㄸ㑦换挹改〸愸ㅣ戹㙥挶㘷㌰㙥㍥〷㡣㔲㐲愴㝡ち㡢㈰㉡㤸㔰昲っ㜱攷敤㜳㥥ㄳ㠲㝡愴搸㤴ㄳ㑥〶㈰㌹〰㡡戲扤㍤㈸㔴㑤㜴ㅡ慥㕢㠵㍢搶㔷㌵㤹㠹摢搷搷㈷敤挶㠷㌶愸㔶ㄶ㈵㘱㐸㌶㙢㈴㤶㘵㠳㌱㙥㈷㔳愳㠹攱㡥慤㡤㤶ㄶ㌶㙤慣㍢戵挸摢㌰㑣挲㌳ㄹ攳攳挲㈸㐸昴㐶㌶㡡㌱晢㜴昶㐸㘴㙣攸〳ㄴ㘹愷ㄴ慥㉦㑡〹㑥攳搸㐹搹㉡㐶㜷㤰敦㕤㔱㜱戶ㄶ㌶搵㤸搷〶愳㥡戱㑡㘵搶㠳㤷㔰㌲晤昲㌶ㄱ㘹捣㑤㔹ㄸ㤱捥㑥慤扦㕡摥㠴㈰㐶㘲挸戴㐸㑡ㅣㄸ㘲〸攱㑡㘴㔴改㥤昵㜱愹敢攸〲敦㑥㕢愶㈷ㄴ㤸て换㤳搶慡戸㘱つ㑦㝥㔰㍡搴㜷㡢愲㐷つ㝢㙣㈹㠰㐹て愹挷愳㤲〸戸㘱㥦㘵㔸ち㠷ㄸ愰㜶愳搲㕣㈹㐴㙡户晥〰敥っ戶て㜵戰㈲㉡㜵㐲敦㡣ㅡ㌴㥦挲戸捤㤳愰散㜴㐸㔱㈸㔲㕢慥晦㍡愱㝤昳㍡慦扦㌸㤱㠹ぢ㤱㄰㌱摤㤵攲㍤㠰戸挹捣㈴愵㘸㌰㑥㤸㉢捤㈶㑡慢㌷挶搱挵攸愳换攷㠷㌸挵挳㕣㔶㍦挵愶㠲㜳㙥愱〳㙢㕡㔹摢㘵㑦㝢愵㑡慤㙣㠹㈹㡥㜵戵㔸攴㙤㐱㉦㌹〲愸愴㈹㘵㕤愲㐵㤹挶㔶㡡㔳㈶㤱㍡昷扢㡤ㄳ攸㉥㑡づ捦㔰愶㡦〹挸㤴戰㥣㈴挴搶㥤㔳愰㝦戸扢㜱㠰㐱づ捦㐱愵慤㐳㔱㤷捤攰㍣㕥㍤㡢㉣搲㤶㘸㌶㔳㥤愹搲㘷㑦愰㑥㌹ち戵㉤㘸㠴㜹㉡㠵㤷捦挳ㄹ改㔰㍡昸㤰捣捤㈸扢㝢昳㌹戹捤摣〴㈹㠴〲ㅡ㜳扣摣〵㘵戰慡㄰㈴㍡摣㝡挳敢搶㤸晤愵攷㙤㡣〱㘸㑣〳搳愱㐵㑢攵攰㑣愰扣戹㠳㜳〷㕡愵㘴㐸㤳挹㔴收㈸〷ㄱ戰〷搱㈰㑤摣㐸㉦㔴㘱㠴挲㍤㜲㌰㉣㍥㥢㌸散㘲ぢ㔴昵昷戵㈰攷捣㄰挷㕦扣〳㉤攸戱㜲㤹敥㉥攲㜳摢㠲慡㌸扡愱摣搱㍤㉤㠷戲㘴㑥昴敦づ戵㔴㐴㠷〵㡦㑥㡥㥣㌲挳搲昲㝣戸愶づ㙥㜵捡ㄲ戹敦㈳ㅥ戱攱摢改㌳㜷㜹㍣㠸扡捡戵㉦㕥昱慡㔷㍤ㄹ㔷㉥攰愹㍦㜰〸㡥㔰㜶㜳㤰挵捣㙦昱㥦㕣㝡㈶昷㍤㍣㜱㉢挳收〳ㅡ〱ㄲ㍥㠷㤷㔶㌴愶昰㠷㐹敡㈱晣㑤攱ㄵ昸敦昵㤳〳攴㤵㍤㉤扣㈲捡㘰㠷㔹扣㑢敦ㄸ戳㘸慦㠳戴㘴ㄸ㄰㍣㍥㈴愲㘷戴搷㜰㐳愲昳㜸〷挸㌷㡤㍦㈴摦〷搲挹㈷ち㍤㍡敡挱㥥晦㝦㈸ㄵ㑢昵㠶㘲昵扦㈰搴摡つ㄰㐳挸〴㈲搵攵㔲晢㙥㐴㈶慣㌵挹㌴㠳㍦捣㥥昰㐸㠸挸昲改愸挰㥢ㅣ㔳戵㙦㈹㈹捥㜹敤㙣㐶摦昵挳扦晦㠷㥢搱㔹㔰㤸㤷昸㙢㘰㥣㍢㔱慥扢ぢ搹㜵敥〲ㄳ昹攲㉥捣戱て㌳晡捡㕤㠸攲㈱㘷㠱搸摣㕤㘰㥥㉦挵㈹㑣愴㕤ㄳ㈱づ敥挶昶戹㡣㤵㥤挲㈱㕣㉢㐰㙥ㅦ〶㉣㤸㐰㜴㙡晦㝡昴㥣改㥢敥〱挱㥦昴㉤ㄸ㌶㝦〱愷扡愵ぢ㝢ㅣ摣戰㐶㍡㙤㄰户㠸㈳敥㍢戱㤵慤㥤㘵〷愵搴愵㐲昹㕡㐱换扦㡤愸㠹挶㍤㐴收搳㝢晥晡攴㉦㍥昵昹ㄳ㍣戹ㄶ昱㙡㡥愹攲㑥搲昷昴㉢㤰攰㑤ㅣㅡ搹换㡦㜴㑥攳㜳㈵㘷愵㘲㡤㥢扥㜸㐴㠱攱挶㐵挵㜸〹挶㔴捣户ㅤ摣㑤㥣㠱㔰敥收㐸㑢攸㔳㍥㜲㤲㜰攱㐸㘲攰ㄲ摦㡢㔳㠸㕡㕢㘳搶愱攷㤹晢㉢㤸愳户㌸㤰㘶㡦㤱㍢㔰㕥㥡昶㤷戱扤㔳㠸㑣收ㄸ㉣㥡摡㔶㙡㍣〲㄰㙢㈹攴㈲挸㈱挹㑤つて〷㠸㤶㍡㠷㐲敥㍥㠰㤴㉣㕢㙢扡㤷戱㠱ㅤ㈵㘰搵て〰㜶昸㐱ぢ㔶ㄱ㔴㡣攳昲㥤敥㙥ㄹち㠸㑤ㄳ搳戶攲搳㥣㐷㐱㌶㌲㐴㡣挶搸ぢ㈸挴㔷敥㈸㑡㕢づ㑤昱㈵㝤慥㑡挲㈹挱捥戹㡣扢ㄵ摤㐷扣ㅡ㑥㠱挰捥攴挵㘰㜸扢㠹挶收㔴昲㜵慡㘹㔱愱〸晢㔵戱摥愹㈷慡㠲捤昲づ㘰㠷㡡㐴㈰扦ㅡ㘲晤㜰攳搱㝢㕢㙢㘸攳扣㙥㑣㤰㍦昸㕦户愷〸㌶摥㑡㠹㠱㠶摤㔲慢㠲㍡㉡晥〴扡㜰搲ㄹ捤㘸ㄴ攵㕥㘳扥㍡㤶慣慣扥捥晥㌳㤳㉤㤲昵㈴㝢㌳愵摤㘴晦㥦〲㘲㔳晢慦㍤挴扥昸ㄹ㑦㐷〵㜱㑥㤹㑢搹㌴㝤挳ㄵ㐱㤴ㅢ㠹ㅣ搹㈴ㅢ㔲㘴晡㕢㤵收昱㈱慢慡ㄶつ㡥ㄸ㔸㔷敢㌱㠹㝡㕦晡戶㍤㙤ㄵ㈰昳㐴戹㔷愱㠲摡昶㙦搶㕢昱㑥㌷晦㐹㜴摣㜳摡㈹昹搵愰㙡㠷㐳昳㐸〰て昱㍢㌴ㅢ㍥捦㤸昶㜲慢㔲㍢㠴㤵攸扤㠸㍥㘷㘶愱戰捦㔸攱㍢㤵㤷㘴㤶㘱㙢㔹つ㝥㤳㌴㤰㐸㌵搱㍡〴户搸㡦搷捣ち㍥㘳㥤㐵摣㌳㈴㙡㕢ㄸ㍢ㄵ㝤㙥㍤慤挱愵挳㜹慤挷㄰ㅢ戲㉡㈳㐸㤴挹ㄴ㥥晡㝤慥㙢敢ㅡ㌴户㡤收ㄶ戰㘵㘷昱户㘲敥㈵搰㜴㙢㙦㘹㘶ㄹ扥㤳㕦㈷ㄷ㡤㈵㐲㙣慥ㄱ戴㑢ぢ㘲户〴㙢昹戴㐱昰㜹昴㜱㌷㠳㘲挳ㄵ㠴搲戶㤰〹㉦愱慢㌶㐶㠰㥦㔱㡥ち扣搱ㄸ昱愳㈸㙡摦挲戴㈸〰㈸㘳て〸搰㥥慢慦愳㤹㡡㈰戰㌱㉥㜲戵㌶㠵㠲㍣㝦ㄹ〵晡㙤晣㘹っ㈴〸搶㐹㘲戹㙦ㄵ散攵〴㜶㠰㥢㔷㑡扣㜱〵愰㉦慢㜱戳㐲扥㉥㙡摦挰ㅢ㕦挲㑦慤㥦㑢ㅣ㌶㉦戲㈹㐱搹㐸摡〲㡤㥢ㄲ㤹搱㥦愲㐳㝤㐶㉢挰戶㥦搱搷搱㜴晤㡣攸㑥挸㈸㤳捦ㅦ㠸捤㤱ㄱ昰搵㈱㐱㡤㘰ㄵ㘰㈰㙥搹㑦㐵换戹攴㔵攲攲㜵搲ㅡ搷㍦㐵㝦摦㍣昱戳㌷㜸晤攷〹㑤㔴㉢慡㥡㘷㐱搵㉡戳昸㔲㜲ㄶ㙢挰戶㥦挵ㄷ㌶㥡挵挰搳攸㈳慢晡㘹ㄴ戰慡攴㍥㤹搵戳㈸㜰㐱昹搳㑡㌱㌶㥥〱敥㌳〳㘴ㄵ改晢〷㈸昴㘵〷㐸㕡挶㜹㡣攷〸㥥㈷昸っ挱㘷〹㍥㐷昰㜹㠰㍥㝤㠰搴㤶㠶㝦㐸攴ㄷ〸扥㐸昰㈵㠲㉦ㄳ㝣〵〰つ挹〰搲昰慢㐴㝥㡤攰㡦〸晥㤸攰敢〴㝦〲搰愷攷挸ㄳ扦摢摥㌴搲昳㡤扦改㠵攰㌴㝤扣晢〸㍥挶㕤搳搱㍦㡢㝦㡢㈰㈷㜶扣㑢晦㔸㘷捦㡡㝤㘹㥡攱㕣ㄵぢ晥㌶㥥㐳㉡㌴㠲愷㝣攲㐱晣ち㤰㈵㜲戸搰攸〵ㄴ㘲ㅡ攵挸㜰㈹㥦㘸㠹㘷换攳慣㕣捦扣ち愹攷㤵㍦㔳㜰愳㔸晡戶搰敡㤸ㄲ扦㜹㙥㙢㡣昳ㅤ㥥搳搰摣㔸〰㑥㥤㙡㠴㌶敢〲愸ㄲ㈴ㄴ㔸㉥愴㔶㠹ㅢ㝦攷㐶㈳挰㠶ち㕣㤰㔲搵㤸㠲㉤㡤慦挴㡤㡦攲摢㍡㘹㤳㈱㐳昱㝡㌳㙥㑣〵㈰㡤㉦挷㡤晦攳攸㠱㝡攳㔸摥搵㤳㜳ㄴ挶㤴㕤㡡散摢ㄲ摦搹昷愳㜹捥愶攷搳㘳㉢㌴ㄹ㔱づ〰㔴挴昷改挵㤱ㅥㅦ㕦扡捦攰㠴ㅡづ昲挰㍣慡㝦昰㘲ㅡ㈷搷㈶捤搰挴㠷散慢㌸㌲攰ㅢ㜲挷捥㜹㝢搶〷愲摢㥥づ戰ㅢ㉥㙦㉢ㄶ㠱㈳搷愵搶㜷㤳搴㑡㡡搳摦㔸㡦㌸搵愹昳㈴㔰㘷㘶㕦搲㘳㕤摡㜲㑣搹捣昳つ㥥㌱慥㠳㌸㌰㐷㠰㉣ㄸ摦〴㔴改㌴㥥㌹捦っ㔰捦㡡ㄲ㝤㤱ㄵ㝦㐶昰攷〰㐵㡤㑡㤵㝣㤰㝦〹愰㍦晥攷㐶㠶㔶㈵搲愵㙢ㄷ攳㤷㈵搹挸㜸㤹ㅤ㕥〱挸㈲昸慥㐵㑣㔸㌴㕥〵㈶昱㔲㡤ち㥡㉡㔳㝢ち㑦愱㥥愲ㄶ㈹㙡捦挷攸㑦㐴㘸㍡晦㐵敤㌳㌱晡挹〸扤㑦搰㥦㡤搱㑦㐴攸晤㠲愶愲㤷㘷㕦㠸搰㜷ぢ㥡慡㕦搰攷㈳昴㍤㠲愶〵㄰昴戹〸慤㐶㐲㥢㈰攸㠵〸慤㐶㐲㉢㈱攸昹〸慤㐶㐲扢㈱攸戳ㄱ㕡㡤㠴㤶㐴搰㡦㐷㘸㌵ㄲ摡ㄶ㐱捦㐵㘸㌵㤲慦挶攸搹〸慤㐶㐲愳㈳慤捦㐴㘸㌵ㄲ㥡㈱㐱㥦㡥搰㙡㈴㌴㑣㠲㥥㠹搰㙡㈴㌴㔵㠲㝥㉣㐲慢㤱搰㜸〹晡搱〸㉤㈳ㄹ愰㕡ㄷ㤶昸ㅢㄴ㡣搷〸㕥〷㈸收挸㑡㕢收㘹㜲㕣㠷ㅥ攱摦愲慢㐶㐶攵㌳㡣敦㐵〵摥㘸攴㔲ㄹ昲㘴㌴攴㠷㠱㈸攸㜹㡤㥣㉢ㄵㄳ㔱挵㜱愹搰㌴㜲戳㔴㡣㐷ㄵ㈷㠰㌰晥づ㐰㝢ㄹ㠰㜳㌲㝥挰扢㔷〹㜸昷挳愸㈰㉦攴ㅡ㐸昷㡦户扣㤰敢㈲ㄵ挷㕢㕥挸戵㤲㡡㠷㤳㉦晣〷㍥㔴㈶㠶㐲㤳㌷㌵挰〹捡㝡晦〸㠵扥㙣㍦挷㜶〱㍦晤㥡㔶扡㔸扥㜸昱搷晤㕤㐳〷扢㥥昸扤摥敢㙦晥攴㤷㉦晣晣改攳晦晥㥢ㄷ㕦晣昹慦㕥㜸攳㌷摦㕦㍡晥愳㔷㕥昹晢㐷㕦㝡攳㤷扢敤㙦敢㌷㝥㍤昳敤㘷㐷慦㍣晢㡣㝤敥摥㤳捦㍥㜹昹昱搱戹㕢㠶戳搹敥敥扢〶晦昱搶扢〷㥥㝦收㌵敤㠷晦戲摦搳㝥㠰㠷换㑣昹㤶昸ㅡ攰戴㘵ㄸ㍦㐶〱挳攰㠸摦搵㘱㜰扡戲㔰ㅦ㠹ㄶ㙡ㅣ〸㍡ㄸㅣ㠰㔴ㅣ㙢慥攸昹ㅦ㕣㈹㘰ㄴ</t>
  </si>
  <si>
    <t>a760c67d-2a8b-4b9e-b32b-0daf891c527f</t>
  </si>
  <si>
    <t>㜸〱敤㕣㕤㙣ㅣ搷㜵摥ㄹ㜲㤷㍢㑢㔲愴㐵㔹戲ㄴ挷㘶攲㌸晥愱㐲㡢戲ㄵ挷愹㘵㤵㍦愶㐴㥢ㄲ㘹㤱㤲散摡㉤㌵摣㥤ㄱ㐷摡㤹愵㘷㘶㈹㌱ㄱ㙡㈷捤㕦㥢㌶㍦㑥㕦ㄴ㍢㜵㙣㍦〵㐸〲攴愱慥㕤〷㘸〲戴㐸㕢㌸㐰㔱㈴て〵晡攰愶㐵晢搰愲㄰搰㤷㍣〴㑤扦敦摣㤹摤搹㕤敥㤰㕥摢㉤㕤㜰散㍤扣㜳敥扤㌳昷摥昳㝢捦戹愳㡣㤶挹㘴㝥㡤㡢㝦㜹㜵戳㜰昳挲㝡㄰㕡敥攸㘴愵㕣戶㡡愱㔳昱㠲搱㜱摦㌷搷㘷㥤㈰散㐲㠳摣㤲㠳晡㈰扢ㄴ㌸㥦戲昲㑢㙢㤶ㅦ愰㔱㌶㤳挹攷つㅤ昵㝣〸㝦㠳昱㡤挱㕥㝤摤〰㡢㤳ㄳ㜳换ㄷ昱搴㠵戰攲㕢〷㠷捦慡扥㐷挷挶㐶挷㐶敦ㅢ㍢㜴㘸昴搰挱攱挹㙡㌹慣晡搶㔱捦慡㠶扥㔹㍥㌸㍣㕦㕤㉥㍢挵㐷慤昵挵捡㈵换㍢㙡㉤ㅦ扡㜷搹扣敦ㄳ㘳昷ㅤ㌹㘲㍦昰挰㈷晡昰敡捣愹挹㠹㜹摦戲㠳㜷改㤹㔹づ昹扥㈹慢攸㜰㙥㤶攵㍢摥㠵搱挹〹晣㥦ㄸ㍦敥敥ㅦ㕤㔸戱慣㤰慦戶㝣换㉢㕡㠱㠱㡥扤敥㜸㄰㔴摤㔵㉥㥥攱㑥㘳慡㐵㌳〸戳敥愴㔵㉥ㅢ㙥晣搴扣㍢㠷戵㉢㥢敢㝤敥㠲攵〵㑥攸慣㌹攱㝡捥㕤挴㠳㑡晤敥㤹挰㍡㙤㝡ㄷ慣㔳愶㙢㘵摤攳㔵愷搴慤慥㑣搷ㅤ昱㈳㤲〳㤳改㡦㡥〷敥攴㡡改换㠸〲㉥㑣㑡摢㘹扦搸搸昶戶昶捦攵搰攵つ㝣收敤敤摢愱收慣改搷㕡㡥戴㙦ㄹ㑤扥㜱〴昷戴㙦㥦㔸愳挶㍥㜷戵敦㈳㑢搹搸㕡敢㡤昸㕢㔶ㄴ㤳㌱㜲〴㍤〴㜹〲ㄲ搰㈸㄰昴ㄲ昴〱㘸摤晦〵㈹㐹㜶㘴㤵扥㘴敡㑢换晡㔲㔱㕦㉡改㑢㤶扥㘴敢㑢ㄷ昴愵ㄵ㝤挹搱㤷㉥敡㑢㤷搰㈶扥昲㍤㍤㝡㜴㝤攷㥦晦㝢晡㕢㙦㉣ㅦ㝦晥敡摦㍦㝦敤愱㙦昸㝤扢搰攸戱㘸㔰㔳扥㜹ㄹ慣㔶攷攲挳愳㤰㠹慤㐸〵㠴挲㍥㘲摦㙦㡦㡤㤵㡥ㅣ㌲敦㌵戳㥣㔶ち昱ㅢㄸ㘵㄰㙤晢散㜳㡥㔷慡㕣ㄶ摡摤㍣㘱〶㔶㝤攱㐶愲扡㠹㑡搵㉢〵ㅦ搸戸㜲㈱㌴㐳敢㐰㜳㕤晤㈱㉤摤ㄶ㈰㔶㔶㈰敦扢愵戹摢㔹戳㕣戵挶慦㌸慡晡㠳㑤搵敥扣㕦㔹㙥㕦㍢敤㕢㑦搷㙡㕢㐶㌴づ愵戶㈶捦㙥㤹愵慡㔲攳ㅡ㥥㕣愹〴㤶㈷挳ㅢ㜱攷㥤攲㈵换㕦戰愸ㄲ慤㤲㑣昵㐶㔶㐵㔲㍦㌲攷㘱愲㤰搶搲㠷㤳㔸晢攱㉢㈱㠴搹㉡㘱扣慢㤶ㅦ慥㉦㥡换㘵㙢㙦㐳ㄳ昵㑥㔴散㙦㐰㑦㔷㡡搵㘰戲攲㠵㝥愵摣㔸㌳㕥㕡㌳愱㘹㑡㈷㉢㈵慢扢㍢㈳㑡〱ち户慢㑢搳㌲㜷户㤷〵㈱㐴㠲挴ㄴ攴㥢ㅡ搹㙥昴㌴㘶㠷㔹㤴㉤昲愴晥㤱㑤ㅥ挶昱㡡㡥㐹㤱挰挴㥣㘸㍦昸搲㍢㌷㜹㙣㡤㜲敦㙤㘳㕤ㅦ㡡㘶晦昰㥡攵㠵㈷㑣慦㔴戶晣㔴敢愷㜱㐴挶〰㐰昶㍡ㄴ㐲摢搵愳愹搳慥㘸敢搹换㑥㈹㕣挹慤㔸捥㠵㤵㄰㌸㔸挸㝣㥥㑢摢㜲ㄹ㌷〰㘵散㈶ㄸ〲㈸ㄴ㌲戹㍤㙣㤴㉢攰捡㘴愹㥤㔲㘴戹㐱㤱戳㕦㠳㉣昷搹搳㑥㌹戴㤴㔲ㅥ戰㐱ㄱ㘵搵㠴㝣晤㘴㔱摦㉣㉡㠳戱挷㥥〴㤷㥡㡥ㄷ慥搷攵戶㐵㑡ㄴㄳ敤攸㠲㙤愷ぢ愸ちㅡ昵㐱㡡慣㠱㘹㥡戴㐱㝡攳〴ㄳ㔱っ㔲㉣㍢㥥摣挸㘴㙣㥦愲㈳搰㍥挹㠴㙣㝤愸扤㡥㈰戳户㌲㈹㍢戵㤵挷ㅤ㙤戶㤱㉦慦戴搹㡤㔸㌸㘳㉦挱㍥㠲㥢〸昶〳㘸晦ちつ㐷㉤㠷㜲攳㘵㝣〰昷挶捤〴ㅦ〴㠰㝥㌲愸㜳㈲㔵㐵ㅦ㙡㉢㝥㈴摢昵挳㑦ㄶ愷㔸愹㈲㝡挶㌵㍦戳摦ㄵ㐲㐷㕥攷昶戰戵摤㘲㘳㍦摡㥥㌷㤳搳㈱㐷愶㌴㑤捥㜵㤳愶挹㠵㘰搳づ敤搶慤攸㙡っㄳ㝣〸愰㘰㝣㤸㄰挶㠵づ敦搶㍣㝡扡㤴敦ぢ户㐸㌹㐳ㅤㅡ昸㠸㤱戹〵㐸㔱㜲㉤摢㤷ㅤㅦ㥡敥攰㠸晤扥昷愱て戶㤷敦㠸攸㑤㜶㜳挷敥㌰㕥昴㌶扤攸摢㈰㕥摡㍦戶戵㌱户愳摡昸㈸挱ㅤ〰㑤㌶㠶扢敦户ㅢ㈹㄰户搸㑤㔰㙥㌷愳㉥攲攵㉥慥慦㕡㘲㠱晡散㐵搳扦㘰㠵㠸㘰捣㑣挱ㄷ慥昸扥㔵挶愶戶㈴〸敥㕦昶㌵㈲㠳㘹扦攲ㄲ扦攳㈳〷敦ぢ挳搰摤慤㜷㘵㥡㝣攴ㄴ㕦㌳ㄱ㜳㑡㜰づ㙤昰扤敤㤵㐴愲㔳㈳㝢戱㕦晡晥㜲㐷㤳㜴愰㐹敥挲戲ㅡ㜷〳㐰㑢㘸㍦㙦慢㔱づ戲搹挷愴㔹愳挷捡〸㕦捡敥愴㈹㠶搸愲㐷㝡㔵挰㜶〲昱㠳愰摦㕤㜰摣㥡戲攸㜵攷㉤扦㠸搸㠲㔳戶ち㉡㉣㑢㔵戳愳㉢摥㈷扡愲慢慢㘵㍦㥤ㄲ㕦ㄳ㍥㘹搲ㄲ愹搲㥥㕡㤹戲ㄷ慦㌳ㄵ挳㤰㔴㉡㈹愱愱㥡〶㈲攷戱敤㡥㡡改㐰挵摣㠳㠵㌳づㄱ㡣ㄱㅣ〶挸晥ㄴ㥡㘶慢ぢ捦㜴㔸捦ㅡ㐳摡㑢㑢㤹㍣挹㈰㈱挲㌷摢㉡慢㈳㝣捤挷〹敥〷㘸㜲㝦ㄸ㠰㑣㘱㐴㈱㜹㠲ㄱ㈵㡤㘱㥦㜵慣换攴㠱㕤㌶ㄲ㑢㤳搵㈰慣戸捣㉣昵摢㔳㤵㔳㤵㜰捡〹㔶㤱㠹ㅡ戲愳挲戹ㄵ换〳㜷昹昰㝤㥡㜰㤵搵㔵慢㘴搸ぢ㤵㉡㔴摢捣搴㜶搸㤸㘳㌹攰㑢捡摥㕣搷㜰㜵戶㍦挶㈳㌴慣戴挴㕢ㄹ㡤摤㔲昴㥢㥢扥㠱晡㡡㉥㍡㘱搹敡戵㤵搰戱㥣户戱㡡挸ㅣ㤴㝡散挵ㄵ摦戲愶晡敤攳扥㔳㉡㍢㥥㐵㘲挰挷㘴戲㙥搶扡㠰㉣挱㝣㠵㌹挰㡡搷㙦㉦晡愶ㄷ慣㥡㑣㈸慥敦㙥戸㤳戴㐸搶㥥㜰扣〰慦ㄱ㉡戲㍣㘰㉦慣㔴㉥㈳㘳㕢㜵扤攳收㙡戰㉤愸㐲愶㔷㤷㤰㐶搳㌵㕤搷昲㝡扥㔳晡㜰㐳㥥挹㔰昶扡〹㠴㔶㤹㉣㘳收㈹搶㥢㝥㝤㤴愳愱㥦捥㌱昵㈱㝢㔴㐳㜶愵㙡㘱㑡慡昱〰晢㝣ㄲ攰㤱攳㘷㘶敡㤹戹㜷㤴戳捥㌲捡㥦愲攳㠵㉤㙡㠹㄰挶攸㜶㈹㔶㈱㡥㥣〳〹〴挵㜹搷捣㝥〵㕢摡㤰晢㜶搵㡢搳挸㈴昵搹戳收戲㔵㐶㍥摡㌵挳㕤敡㠶㙥慣㙢㤶㠳愸㙥戲攲扡㈶㔹㡢㙣戹㔰㌴挹挱攳搵戰㜲搲昱っㅢ㐰昸㉦㐲㤹㔷㠰㌲慦〸慡捦㍥捤搴愰㤴昹慣捡〵搳㜷挲ㄵ搷㈹收㜹挳昴摤戶攰㐹〸㌹㌵㙦㝣挵㍡㘳戸挹㥢㍦〳㤷㉤ㄸ〵戹㐷愱㐷戹㜴㈴㍦㌸㔷搷㜲昸㑦敢㌰戰〴〵㈳㤱㔲攳㐱㍣㉤㉢愷㈳愰㜲攴扡ㅥ㥦挱戸晥っ㌰㑡〹㤱敡㈹㉣㠲愸㘰㐲挹㌳挴㥤戳捦㜸㑥〸敡㤱㘲搳㑥㌸ㄵ㠰攴〰㈸捡昶昶㠰㔰㌵搱㘹愴㘶ㄵ㙥㙤慤㙡㌰ㄳ户戴搶㈷敤挶㐷㌶愸㔶ㄶ㈵㘱㐸㌶㙢㈴㤶㘵㠳㌱㙥㈷㔳愳㠹攱㡥慤㡤㤶ㄶ㌶慤慦㍢戵挸㍢㌰㑣挲㌳ㄹ攳㈱㘱ㄴ㈴㝡㈳ㅢ挵㤸㝤㍡㝢㈴㌲㌶昴〱ち戴㔳ち搷ㅦ愵〴㘷㜰散愴㘴ㄵ愲㍢挸昷慥愸㌸㔷つㅢ㙡捣㉢㐳㔱捤㜸戹㍣攷挱㑢㈸㥡㝥㘹㥢㠸㌴收愶㉣㡣㐸㘷愷搶㕦㉤㙦㐲㄰㈳㌱㘴㕡㈴㈵づっ㌱㠴㜰㈵㌲慡昴捥晡戹搴㌵㜴㥥㜷㈷㉤搳ㄳち㉣㠴愵㈹㙢㑤摣戰扡㈷㍦㈴ㅤ㙡扢㐵搱愳㠶㍤扥ㅣ挰愴㠷搴攳㔱㐹〴摣戰㑦㌳㉣㠵㐳っ㔰扢㔱㘹扥ㄸ㈲戵㕢㝢〰㜷〶摢㠷㍡㔸ㄱ㤵㍡愱㜷㐶つ㥡㑢㘱摣挶㐹㔰㜶㍡愴㈸ㄴ愹㉤搷㝦ㅥ搳扥㜹㡤搷㜷㡥㘵攲㐲㈴㐴㑣㜷愵㜸て㈰㙥㌲㌳㐹㈹ㅡ㡡ㄳ收㑡戳㠹搲敡㡢㜱㜴㌱晡改昲昹㈱㑥昱㌰㤷㌵㐰戱㈹攳㥣㕢攸挰㥡㤶搷㜷搹㌳㕥戱㕣㉤㔹㘲㡡㘳㕤㉤ㄶ㜹㕢搰㑢㡥〰㉡㘹㑡㔹㤷㘸㔱㘶戰㤵攲㤴㐹愴捥晤㙥攳ㄸ扡㡢㤲挳㌳㤴改㘳〲㌲㈵㉣㈷〹戱㤶㜳ち昴て㜷搷て㌰挸攱㌹愸戴ㄶㄴ㜵搹㉣捥攳搵戲挸㈲㙤㠹㘶戳㤵搹ち㝤昶〴敡㠴愳㔰摢㠲㐶㤸愷㔲㜸戹ㅣ㥣㤱づ愵㠳て挹㕣㡦戲扢搷㥦㤱摢捣㜵㤰㐲㈸愰㌱挷换㕤㔰〶慢ち㐱愲挳慤搷扤㙥㡤搹㕦㝡摥挶㌸㠰挶㌴㌰ㅤ㕡戴㔴づ捥㈴捡㥢㍢㌸户愲㔵㑡㠶㌴㤹㑣㘵㡥㜲〸〱㝢㄰つ搲挴㡤昴㘲〵㐶㈸摣㈳〷挳攲戳㠹㈳㉥戶㐰ㄵ㝦㙦ㄳ㜲摥っ㜱晣挵摢摦㠴ㅥ㉦㤵攸敥㈲㍥户㉤愸㡡愳ㅢ捡ㅤ摤搳㜴㈸㑢收㐴晦敥戶愶㡡攸戰攰攱愹搱ㄳ㘶㔸㕣㔹〸搷搵挱慤㑥㔹㈲晢㐳挴㈳㌶㝣㍢㝤收㙥㡦〷㔱搷戸昶㠵㑢㕥攵戲㈷攳捡〶㍣昵〷づ挱ㄱ捡ㅥづ戲㤰昹㌵晥㤳㑢捦㘴摦挰ㄳ户㌲㙣㍥愰ㅥ㈰攱㜳㜸㘹〵㘳ㅡ㝦㤸愴ㅥ挶摦ㄴ㕥㠱晦㕥㍢㌹㐰㕥搹搳挴㉢愲っ㜶㤸挵扢昰慥㌱㡢昶㍡㐸㑢㠶〱挱攳㐳㈲㝡㐶㝢つ㌷㈴㍡㡦㜷㠰㝣㌳昸㐳昲㝤㈸㥤㝣愲搰愳愳ㅥ散昹晦㠷㔲戱㔴㙦㈸㔶晦ぢ㐲慤扤ち㘲〸㤹㐰愴㥡㕣㙡㝦ㅡ㤱〹㙢㑤㌲捤攲て戳㈷㍣ㄲ㈲戲㝣㌲㉡昰㈶换㔴敤摢㑡㡡㜳㕥㍢㥢搱昷晣昰敦晦攱㘶㜴づㄴ收㈵晥ㅡㄸ攷㜶㤴㙢敥㐲㔷㡢扢挰㐴扥戸ぢ昳散挳㡣扥㜲ㄷ愲㜸挸㘹㈰㌶㜷ㄷ㤸攷㑢㜱ちㄳ㘹搷㐴㠸㠳扢戱扤㉥㘳㘵㈷㜰〸搷ち㤰摢㠷〱ぢ㈶ㄱ㥤摡搷㡡㥥㌷㝤搳摤㉦昸攳扥〵挳收㉦攲㔴户㜴㘱㡦〳ㅢ搶㐸愷つ攲ㄶ㜱挴㝤㈷戶戲戵戳散愰㤴扡㔴㈸㕦换㙢戹㜷㄰㌵搱戸㠷挸㝣㝡捦昷㡦晦搳愷㍥㜷㡣㈷搷㈲㕥捤㌲㔵摣㐹晡㥥㝥〵ㄲ扣㠹㐳㈳㌷昲㈳㥤㤳昸㕣挹㔹㉤㕢ㄳ愶㉦ㅥ㔱㘰戸㜱㔱㌱㕥㠲㌱ㄵ昳㙤〷㜷ㄳ㘷㈰㤴扢㌹摡ㄴ晡㤴㡦㥣㈴㕣㌸㥡ㄸ戸挴昷攲ㄴ愲搶搶㤸㜵攸㜹㘶扦〷㜳昴㌶〷搲攸㌱㜲〷捡㑢搳扥ㅢ摢㍢㠵挸㘴㡥挰愲愹㙤愵挶㈳〰戱㤶㐲㉥㠲ㅣ㤲摣搴昰㜰㠰㘸愹㌳㈸㘴敦〱㐸挹戲㌵愷㝢ㄹㅢ搸㔱〲㔶敤〰㘰㠷ㅦ戴㘰ㄵ㐱挵㌸㉥摦改敥㤶愱㠰搸㌴㌱㙤㉢㍥捤㔹ㄴ㘴㈳㐳挴㔸㡣㍤㠷㐲㝣㘵て愳戴攵搰ㄴ㕦搲敦慡㈴㥣ㄲ散慣换戸㕢挱㝤搸慢攲ㄴ〸散㑣㑥っ㠶户㥢㘸㙣㑥㈵㕦愷㥡ㄶㄴ㡡㜰㐰ㄵ㙢㥤㝡愳㉡搸㉣㙦㍦㜶愸㐸〴昲慢㈱搶㡦搴ㅦ㝤㘳㜳つ㙤㥣搷㠳〹昲〷晦敢㤶ㄴ挱挶㕢㈹㌱搰戰㕢㙡㤵㔷㐷挵ㅦ㐷ㄷ㑥㍡愳ㄹ昵愲摣㙢捣㔷挷㤲搵愵户搸㝦㘶戲㐵戲㥥㘰㙦愶戴ㅢ散晦㤳㐰㙣㙡晦戵〷搸ㄷ㍦攳愹愸㈰捥㈹㜳㈹㥢愶㙦戸㈲㠸㜲㈳㤱㈳㥢㘴㐳㡡㑣㝦慢搲〲㍥㘴㔵搵愲挱ㄱ〳敢㙥㍥㈶㔱敢㑢摦戶户慤〲㘴㥥㈸晢ち㔴㔰摢晥㡤㝡㉢摥改收㝥〷ㅤ昷㥣㜴㡡㝥㈵愸搸攱昰〲ㄲ挰挳晣づ捤㠶捦㌳慥扤搴慣搴㙥挳㑡昴㥤㐷㥦㔳㜳㔰搸愷慣昰摤捡㑢㌲换戰戵慣〶扦㐹ㅡ㑣愴㥡㘸ㅤ㠲ㅢ散挷慡㘶ㄹ㥦戱捥㈱敥ㄹㄲ戵㉤㡣㥤㡡㍥㌷㥦搶攰搲攱扣搶愳㠸つ㔹攵㔱㈴捡㘴ち㑦晥㌶搷戵㜹つㅡ摢㐶㜳ぢ搸戲戳昸㕢㈱晢㈲㘸扡戵户㌴戲っ摦挹慦㤳ぢ挶㌲㈱㌶搷〸摡愵〵戱㥢㠲戵㝣摡㄰昸㍣晡戸㥢㐱戱㤱㌲㐲㘹㕢挸㠴ㄷ搱㔵ㅢ㈷挰捦㈸㐵〵摥㘸㡣昸㔱ㄴ戵攷㌱㉤ち〰捡搸〳〲戴攷敡㙢㘸愶㈲〸㙣㡣㡢㕣慤㑤愳㈰捦㕦㐱㠱㝥ㅢ㝦ㅡ〳〹㠲㜵㤲㔸敥㕢〵㝢㌱㠱ㅤ攴收㤵ㄲ㙦㕣〲攸敦搲戸㔹㈱㕦ㄷ戴㍦挶ㅢ㕦挴㑦慤㥦㑢ㅣ㌶㉦戲㈹㐱搹㐸摡〲㡤㥢ㄲ㤹搱搷搱愱㌶愳㔵㘰摢捦攸慢㘸摡㍡㈳扡ㄳ㌲捡攴昳〷㘳㜳㘴〴㝣㜵㐸㔰㈵㔸〳ㄸ㡣㕢づ㔰搱㜲㉥㌹㤵戸㜸㥤戴挶昵㜷搱摦户㡥晤昴㑤㕥晦㜱㑣ㄳ搵㡡慡挶㔹㔰戵捡㉣扥㤴㥣挵㍡戰敤㘷昱㠵㡤㘶㌱昸ㄴ晡挸慡㝥ㅡ〵慣㉡戹㑦㘶㜵ㄵ〵㉥㈸㝦㕡㌱挶挶㌳挰㝤㘶㤰慣㈲㝤㝦ㄷ㠵晥慥㐱㤲㤶㜱ㅥ攳ㄹ㠲㘷〹㍥㐳昰㔹㠲摦㈳昸ㅣ㐰扦㍥㐸㙡㑢挳捦ㄳ昹〵㠲㉦ㄲ㝣㠹攰昷〹晥〰〰つ挹〰搲昰换㐴晥㈱挱ㅦㄱ㝣㠵攰慢〴㕦〳攸搷戳攴㠹摦㘸㙦ㅡ改昹挶摦昴㐲㜰ㅡ㍥摥㝤ㄸㅦ攳慥敢攸摦㠵㝦㡢㈰㉢㜶扣㕢晦㘴㘷捦㡡㝤㘹㥡攱㙣〵ぢ晥づ㥥㐳㉡搴㠳愷㝣攲〱晣昲㤰㈵㜲戸搰攸㌹ㄴ㘲ㅡ㘵挹㜰㈹㥦㘸㠹㘷换攳慣㕣捦㥣ち愹攷㤴㍦㤳㜷愳㔸晡戶搰敡㤸ㄲ扦㜹㙥㙢㡣㜳ㅤ㥥搳搰摣㔸〰㑥㥣愸㠷㌶㙢〲愸ㄲ㈴ㄴ㔸㉥愴㔶㡥ㅢ晦攰搵㝡㠰つㄵ戸㈰愵慡㌱〵㕢ㅡ㕦㡡ㅢㅦ挶户㜵搲㈶㐳㠶攲昵㔶摣㤸ち㐰ㅡ㕦㡣ㅢ晦晢攱晤戵挶戱扣慢㈷㘷㈹㡣㈹扢ㄴ搹户㈵扥戳ㅦ㐰昳慣㑤捦愷搷㔶㘸㌲愲ㅣ〰㈸㡢敦搳㠷㈳㍤㍥扥㜴㥦挵〹㌵ㅣ攴㠱㜹㔴晦攰挵っ㑥慥㑤㤹愱㠹て搹搷㜰㘴挰㌷攴㡥㥤㜳昶㥣て㐴㡦㍤ㄳ㘰㌷㕣摡㔶㉣〲㐷慥㕢慤敦㈶愹㤵ㄴ愷扦扥ㅥ㜱慡㔳攷㐹愰捥捣扥愴挷扡戵㤵㤸戲㤹㘷敢㍣㘳㕣〳㜱㘰㡥〰㔹㌰扥〹愸搲㘹㍣㜳㥥ㄹ愴㥥ㄵ㈵晡〲㉢扥㐵昰㈷〰〵㡤㑡㤵㝣㤰㝢ㄱ㘰㈰晥攷㐶㠶搷㈴搲愵㙢攷攳㤷㈵搹挸㜸㠹ㅤ㕥〶攸㐲昰㕤㡢㤸戰㘰扣〲㑣攲愵ㅡㄵ㌴㔵愶昶㈴㥥㐲㍤㐵㉤㔲搰㥥㡤搱扦ㄵ愱改晣ㄷ戴捦挴攸㈷㈲昴㕥㐱㝦㌶㐶㍦ㅥ愱昷〹㥡㡡㕥㥥㝤㉥㐲摦㈹㘸慡㝥㐱㥦㡤搰㜷〹㥡ㄶ㐰搰㘷㈲戴ㅡ〹㙤㠲愰ㄷ㈳戴ㅡ〹慤㠴愰ㄷ㈲戴ㅡ〹敤㠶愰㑦㐷㘸㌵ㄲ㕡ㄲ㐱㍦ㄶ愱搵㐸㘸㕢〴㍤ㅦ愱搵㐸扥ㅣ愳攷㈲戴ㅡ〹㡤㡥戴㍥ㄵ愱搵㐸㘸㠶〴㝤㌲㐲慢㤱搰㌰〹㝡㌶㐲慢㤱搰㔴〹晡搱〸慤㐶㐲攳㈵攸㐷㈲戴㡣㘴㤰㙡㕤㔸攲捦㔰㌰㕥㈳㜸ㅤ愰㤰㈵㉢㙤㤹愷挹㜱ㅤ㝡㠴㝦㡥慥ㅡㄹ㤵捦㌰摥㠸ち扣搱挸愵㌲攴愹㘸挸て〲㤱搷㜳ㅡ㌹㔷㉡㈶愳㡡愳㔲愱㘹攴㘶愹㤸㠸㉡㡥〱㘱晣〵㠰昶ㄲ〰攷㘴晣㠸㜷慦㄰昰敥挷㔱㐱㕥挸㌵㤰敥て㌵扤㤰敢㈲ㄵ㐷㥢㕥挸戵㤲㡡〷㤳㉦晣㉢㍥㔴㈶㠶㐲㠳㌷㌵挸〹捡㝡晦〴㠵晥慥〱㡥敤ㅣ㝥晡ㄵ慤㜸扥㜴晥晣㉦〷扡㠷て㜴㍦晥㥢㝤搷摥晡摢㕦㍣昷戳愷㡥晥摢慦㕥㜸攱㘷晦昲摣㥢扦晡攱昲搱㥦扣晣昲㕦㍥昲攲㥢扦搸㙤㝦㕢㝦昵㤷戳摦扥㍡㜶改敡搳昶㤹扢㡦㕦㝤攲攲㘳㘳昳㌷㡣㜴㜵昵昴摣㌱昴搷㌷摤㌹昸散搳慦㘹㍦晥㠷㝤㥥昶㈳㍣㕣㘶捡户挴搷㈰愷㉤挳昸ㅢㄴ㌰っ㡥昸㍤ㅤ〶愷㉢ぢ昵昱㘸愱㈶㠰愰㠳挱〱㐸挵㤱挶㡡摥晦〱摤户㘲㔴</t>
  </si>
  <si>
    <t>Simulação 50%</t>
  </si>
  <si>
    <t>Probabilidade de ser superior a:</t>
  </si>
  <si>
    <t>498cb4dd-e47a-4d74-aa25-ab44683044da</t>
  </si>
  <si>
    <t>㜸〱敤㕣㕤㙣ㅣ搷㜵摥㤹攵㉥㜷㤶㕣㤱ㄶ㘵挹㔲ㅣ㥢㠹攳昸㠷ち㉤捡㔶ㅣ扢㔶㔴晥㤸ㄲ㙤㑡愴㐵㑡戲㘳㈷搴㜰㜷㐶ㅣ㘹㘷㤶㥥㤹愵挴挴㡤㥤㌴㑤搳愶㙤㕡愳㉦㑥摣㍡戶搱㠷〲㙤㠱㍥搴戵㥢〰㑤㠰ㄶ㘹〳〷挸㐳ㄲ愰㐰ㅦ㥣愰㘸ㅦ㕡ㄴ〲昲㤲㠷〰改昷㥤㍢戳㍢扢攴づ改戵摤搲〵挷摥挳㍢攷摥㍢㜳敦㍤扦昷㥣㍢捡㘸㤹㑣收㔷戸昸㤷㔷てぢ㌷㉦慣〷愱攵㡥㑥搶慡㔵慢ㅣ㍡㌵㉦ㄸㅤ昷㝤㜳㝤搶〹挲㉣ㅡ攴㤷ㅣ搴〷戹愵挰昹慣㔵㔸㕡戳晣〰㡤㜲㤹㑣愱㘰攸愸攷㐳昸ㅢ㡣㙦っ昶敡敦〱㔸㥣㥣㤸㕢扥㡣愷㉥㠴㌵摦㍡㍣㝣㕥昵㍤㍥㌶㌶㍡㌶㝡摦搸㤱㈳愳㐷づて㑦搶慢㘱摤户㡥㝢㔶㍤昴捤敡攱攱昹晡㜲搵㈹㍦㙡慤㉦搶慥㔸摥㜱㙢昹挸扤换收㝤㥦ㄸ扢敦搸㌱晢㠱〷㍥搱㡦㔷㘷捥㑣㑥捣晢㤶ㅤ扣㑢捦捣㜱挸昷㑤㔹㘵㠷㜳戳㉣摦昱㉥㡤㑥㑥攰晦挴昸㜱㜷晦攸挲㡡㘵㠵㝣戵攵㕢㕥搹ちっ㜴散㜳挷㠳愰敥慥㜲昱っ㜷ㅡ㔳㉤㥢㐱㤸㜳㈷慤㙡搵㜰攳愷ㄶ摣㌹慣㕤搵㕣敦㜷ㄷ㉣㉦㜰㐲㘷捤〹搷昳敥㈲ㅥ㔴㈹戹攷〲敢慣改㕤戲捥㤸慥㤵㜳㑦搶㥤㑡㡦扡㌲搹㍢攲㐷㈴〷㈶搳ㅦㅤて摣挹ㄵ搳㤷ㄱ〵㕣㤸㤴戶搳㝥戹戵敤㙤㥤㥦换愱换ㅢ昸捣摢㍢户㐳捤㜹搳㙦戴ㅣ改摣㌲㥡㝣敢〸敥改摣㍥戱㐶慤㝤敥敡摣㐷㤶戲戵戵搶ㄷ昱户慣㈸㈶㘳攴〹㝡〹ち〴㈴愰㔱㈴攸㈳攸〷搰㝡㝥づ㈹㐹㜶㘴㤵扥㘴敡㑢换晡㔲㔹㕦慡攸㑢㤶扥㘴敢㑢㤷昴愵ㄵ㝤挹搱㤷㉥敢㑢㔷搰㈶扥ち扤扤㝡㜴㝤晥ㅢて晡敢㍦昹昴攴㉢㐷㝥攳攷㝦㔶戳昷昷敦㐱愳挷愲㐱㑤昹收㔵戰㕡㤳㡢㡦㡥㐲㈶戶㈳ㄵ㄰ち晢㤸㝤扦㍤㌶㔶㌹㜶挴扣搷捣㜱㕡㈹挴㙦㘱㤴㐱戴敤户㉦㌸㕥愵㜶㔵㘸㜷昳㠴ㄹ㔸捤㠵ㅢ㠹敡㈶㙡㜵慦ㄲ㝣㘰昳捡㠵搰っ慤㐳敤㜵捤㠷㙣攸戶〰戱戲〲㜹摦㉤敤摤捥㥢搵扡㌵㝥捤㔱搵ㅦ㙣慢㜶攷晤摡㜲攷摡㘹摦㝡扡㔱扢㘱㐴攳㔰㙡㙢昲散つ戳㔴㔵㙡㕣挳㤳㉢戵挰昲㘴㜸㈳敥扣㔳扥㘲昹ぢㄶ㔵愲㔵㤱愹摥挸慡㐸敡㐷收㍣㑣ㄴ搲㕡昹㜰ㄲ㙢㍦㝣㉤㠴㌰㕢ㄵ㡣㜷搵昲挳昵㐵㜳戹㙡敤㙦㘹愲摥㠹㡡㠳㉤攸改㕡戹ㅥ㑣搶扣搰慦㔵㕢㙢挶㉢㙢㈶㌴㑤攵㜴慤㘲昵昴㘴㐴㈹㐰攱㘶戳㥡㤶戹扢戳㉣〸㈱ㄲ㈴愶㈰摦搴捡㜶愳㘷㌱㍢捣愲㙡㤱㈷昵㡦㙣昱㌰㡥㔷㜴㑣㡡〴㈶收㐴晢挱㤷摥戹挵㘳ㅢ㤴㝢㙦ㅢ敢晡㔰㌴晢㠷搷㉣㉦㍣㘵㝡㤵慡攵愷㕡㍦㡤㈳㌲〶〰㜲搷愱㄰㍡慥ㅥ㑤㥤㜶㑤㕢捦㕤㜵㉡攱㑡㝥挵㜲㉥慤㠴挰挱㐲ㄶち㕣摡つ㤷㜱〳㔰挶㕥㠲㈱㠰㘲㌱㤳摦挷㐶昹㈲慥㑣㡥摡㈹㐵㤶㕢ㄴ㌹晢戵挸㜲扦㍤敤㔴㐳㑢㈹攵〱ㅢㄴ㔱㔶㑤挸㔷㈲㡢晡㘶㔹ㄹ㡣㝤昶㈴戸搴㜴扣㜰扤㈹户ㅢ愴㐴㌱搱慥㉥搸㜱扡㠰慡愰㔵ㅦ愴挸ㅡ㤸愶㑤ㅢ愴㌷㑥㌰ㄱ挵㈰挵戲攳挹慤㑣挶昶㈹㍡〲敤㤳㑣挸搶㐷㍡敢〸㌲晢㐶㈶㘵愷㡥昲戸慢捤㌶昳攵㤵㌶扢ㄱぢ㘷散㈷㌸㐰㜰ㄳ挱㐱〰敤摦愱攱愸攵㔰㙥扤㡣て攰摥戸㤹攰㠳〰搰㑦〶㜵㑥愴慡攸㐳㙤挷㡦㘴扢ㄲ晣㘴㜱㡡㤵㉡愲㘷摣昰㌳㑢慥㄰㍡昲㍡㜷㠶慤敤ㄱㅢ晢搱捥扣㤹㥣づ㌹㌲愵㘹㜲慥㕢㌴㑤㉥〴㥢㜶㘹户㙥㐵㔷㘳㤸攰㐳〰㐵攳挳㠴㌰㉥㜴㜸户攷搱搳愵㝣㕦戸㐵捡ㄹ敡搲挰㐷㡣捣㉤㐰㡡㤲摢戰㝤搹昵愱改づ㡥搸敦㝢ㅦ晡㜰㘷昹㡥㠸摥㘶㌷㜷敤づ攳㐵㙦搳㡢扥つ攲愵晤㙢㐷ㅢ㜳㍢慡㡤㡦ㄲ摣〱搰㘶㘳戸晢㝥扢㤱〲㜱㡢摤〴攵昶㌲敡㈲㕥敥攲晡慡㈵ㄶ愸摦㕥㌴晤㑢㔶㠸〸挶捣ㄴ㝣攱㥡敦㕢㔵㙣㙡㉢㠲攰晥攵㐰㉢㌲㤸昶㙢㉥昱扢㍥㜲昰扥㌰っ㍤㍤㝡㌶搳收㈳愷昸㥡㠹㤸㔳㠲㜳㘸㠳敦敤慣㈴ㄲ㥤㕡搹㡢晤搲昷㤷扢㥡愴ぢ㑤㜲ㄷ㤶搵戸ㅢ〰㕡㐲晢㜱㐷㡤㜲㤸捤㍥㈶捤㕡㍤㔶㐶昸㔲㜶㈷㙤㌱挴つ㝡愴㑦〵㙣㈷㄰㍦〸㑡敥㠲攳㌶㤴㐵㥦㍢㙦昹㘵挴ㄶ㥣慡㔵㔴㘱㔹慡㥡㕤㕤昱㍥搱ㄵ搹散㠶晤㜴㑡㝣㑤昸愴㑤㑢愴㑡㝢㙡㘵捡㕥扣挹㔴っ㐳㔲愹愴㠴㠶ㅡㅡ㠸㥣挷戶扢㉡愶ぢㄵ㜳てㄶ捥㌸㐲㌰㐶㜰ㄴ㈰昷〳㘸㥡敤㉥㍣搳㘱扤㙢っ㘹㉦㉤㘵ち㈴㠳㠴〸摦散愸慣㡥昱㌵ㅦ㈷戸ㅦ愰捤晤㘱〰㌲㠵ㄱ㠵攴〹㐶㤴㌴㠶㝤摥戱慥㤲〷昶搸㐸㉣㑤搶㠳戰收㌲戳㔴戲愷㙡㘷㙡攱㤴ㄳ慣㈲ㄳ㌵㘴㐷㠵ぢ㉢㤶〷敥昲攱晢戴攱㙡慢慢㔶挵戰ㄷ㙡㜵愸戶㤹愹㥤戰㌱挷㜲挰㤷㤴扤戹慥攱敡㙥㝦㡣㐷㘸㔸㘹㠹户㌲ㅡ扢慤攸㌷㌷㝤〳捤ㄵ㕤㜴挲慡搵㘷㉢愱㘳戹㘰㘳ㄵ㤱㌹愸昴摡㡢㉢扥㘵㑤㤵散㤳扥㔳愹㍡㥥㐵㘲挰挷㘴戲㙥搶扡㠴㉣挱㝣㡤㌹挰㥡㔷戲ㄷ㝤搳ぢ㔶㑤㈶ㄴ搷昷戶摣㐹㕡㈴㘷㑦㌸㕥㠰搷〸ㄵ㔹ㅥ戰ㄷ㔶㙡㔷㤱戱慤扢摥㐹㜳㌵搸ㄱ㔴㈱搳慢㑢㐸愳改㥡慥㙢〵扤搰㉤㝤戸㈱捦㘴㈸㝢㍤〴㐲慢㑣㡥㌱昳ㄴ敢㑤扦㍥捡搱搰㑦攷㤸晡㤱㍤㙡㈰戳愹㕡㤸㤲㙡㍣挰㍥て〲㍣㜲昲摣㑣㌳㌳昷㡥㜲搶㌹㐶昹㔳㜴扣戰㐵㈳ㄱ挲ㄸ摤ㅥ挵㉡挴㤱㜳㈰㠱愰㌸敦摡搹慦㘸㑢ㅢ㜲摦㥥㘶㜱ㅡ㤹愴㝥㝢搶㕣戶慡挸㐷扢㘶戸㐷摤搰㡤㜵捤㙡㄰搵㑤搶㕣搷㈴㙢㤱㉤ㄷ捡㈶㌹㜸扣ㅥ搶㑥㍢㥥㘱〳〸晦㐵㈸昳ㅡ㔰收㌵㐱昵摢㘷㤹ㅡ㤴㌲㥦㔵扢㘴晡㑥戸攲㍡攵〲㙦㤸扥摢ㄱ㍣〹㈱愷收㡤慦㔸㘷っ户㜹昳攷攰戲〵愳㈰昷㈸昴㈸㤷㡥攴〷攷敡㕡ㅥ晦㘹㕤〶㤶愰㘰㈴㔲㙡㍣㠴愷攵攴㜴〴㔴㡥㕣搷攳㌳ㄸ搷㥦〵㐶㈹㈱㔲㍤㠵㐵㄰ㄵ㑣㈸㜹㠶戸昳昶㌹捦〹㐱㍤㔲㙣摡〹愷〲㤰ㅣ〰㐵搹摥ㅥㄲ慡㈶㍡㡤㌴慣挲慤ㅢ慢㕡捣挴㉤ㅢ敢㤳㜶攳㈳㥢㔴㉢㡢㤲㌰㈴㕢㌵ㄲ换戲挹ㄸ㜷㤲愹搱挴㜰挷搶㐶㑢ぢ㥢㌶搷㥤㕡攴ㅤㄸ㈶攱㤹㡣昱㐹㘱ㄴ㈴㝡㈳ㅢ挵㤸㝤㍡㝢㈴㌲㌶昴〱㡡戴㔳ち㔷㡡㔲㠲㌳㌸㜶㔲戱㡡搱ㅤ攴㝢㑦㔴㥣慢㠷㉤㌵收戵愱愸㘶扣㕡㥤昳攰㈵㤴㑤扦戲㐳㐴ㅡ㜳㔳ㄶ㐶愴戳㕢敢慦㤶㌷㈱㠸㤱ㄸ㌲㉤㤲ㄲ〷㠶ㄸ㐲戸ㄲㄹ㔵㝡㘷㈵㉥㜵〳㕤攰摤㘹换昴㠴〲ぢ㘱㘵捡㕡ㄳ㌷慣改挹て㐹㠷挶㙥㔱昴愸㘱㡦㉦〷㌰改㈱昵㜸㔴ㄲ〱㌷散戳っ㑢攱㄰〳搴㙥㔴㥡㉦㠷㐸敤㌶ㅥ挰㥤挱捥愱づ㔶㐴愵㑥攸㥤㔱㠳收㔳ㄸ户㜵ㄲ㤴㥤㉥㈹ち㐵㙡换昵摦㈷戴慦扦挰敢捦㑦㘴攲㐲㈴㐴㑣㜷愵㜸て㈰㙥㌲㌳㐹㈹ㅡ㡡ㄳ收㑡戳㠹搲敡㡦㜱㜴㌱㑡㜴昹晣㄰愷㜸㤸换ㅡ愰搸㔴㜱捥㉤㜴㘰㑤慢敢㝢散ㄹ慦㕣慤㔷㉣㌱挵戱慥ㄶ㡢扣㈳攸㈵㐷〰㤵㌴愵慣㑢戴㈸㌳搸㑡㜱捡㈴㔲昷㝥户㜱〲摤㐵挹攱ㄹ捡昴㌱〱㤹ㄲ㤶㤳㠴搸㠶㜳ち昴て昷㌶て㌰挸攱㌹愸戴つ㈸敡戲㔹㥣挷㙢㘴㤱㐵摡ㄲ捤㘶㙢戳㌵晡散〹搴㈹㐷愱㜶〴㡤㌰㑦愵昰昲㜹㌸㈳㕤㑡〷ㅦ㤲戹ㅥ㘵㜷慦㍦㉢户㤹敢㈰㠵㔰㐰㘳㡥㤷扢愰っ㔶ㄵ㠲㐴㠷㕢㙦㝡摤ㅡ戳扦昴扣㡤㜱〰㡤㘹㘰㍡戴㘸愹ㅣ㥣㐹㤴户㜶㜰㙥㐵慢㤴っ㘹㌲㤹捡ㅣ攵㄰〲昶㈰ㅡ愴㠹ㅢ改挵ㅡ㡣㔰戸㑦づ㠶挵㘷ㄳ㐷㕣㙣㠱㙡晥晥㌶攴扣ㄹ攲昸㡢㜷戰つ㍤㕥愹搰摤㐵㝣㙥㐷㔰ㄵ㐷㌷㤴㍢扡慦敤㔰㤶捣㠹晥摤㙤㙤ㄵ搱㘱挱愳㔳愳愷捣戰扣戲㄰慥慢㠳㕢摤戲㐴敥摢㠸㐷㙣晡㜶晡捣㍤ㅥて愲慥㜱敤㡢㔷扣摡㔵㑦挶㤵ぢ㜸敡てㅣ㠲㈳㤴扤ㅣ㘴㌱昳㉢晣㈷㤷㥥挹㝤ぢ㑦摣捥戰昹㠰㘶㠰㠴捦攱愵ㄵ㡤㘹晣㘱㤲㝡ㄸ㝦㔳㜸〵晥㝢攳攴〰㜹㘵㕦ㅢ慦㠸㌲搸㘵ㄶ敦搲扢挶㉣摡ㅢ㈰㉤ㄹ〶〴㡦て㠹攸ㄹ敤㜵摣㤰攸㍣摥〱昲捤攰て挹昷愱㜴昲㠹㐲㡦㡥㝡戰攷晦ㅦ㑡挵㔲扤愹㔸晤㉦〸戵昶ㅡ㠸㈱㘴〲㤱ㅡ㜲愹晤㑤㐴㈶慣㌵挹㌴㡢㍦捣㥥昰㐸㠸挸昲改愸挰㥢ㅣ㔳戵㙦㉢㈹捥㜹敤㙥㐶摦昳挳扦晦㠷㥢搱㌹㔰㤸㤷昸㙢㘰㥣摢㔱㙥戸ぢ搹つ敥〲ㄳ昹攲㉥捣戳て㌳晡捡㕤㠸攲㈱㘷㠱搸摡㕤㘰㥥㉦挵㈹㑣愴㕤ㄳ㈱づ敥挶昶扢㡣㤵㥤挲㈱㕣㉢㐰㙥ㅦ〶㉣㤸㐴㜴敡挰㐶昴扣改㥢敥㐱挱㥦昴㉤ㄸ㌶㝦ㄱ愷扡愵ぢ㝢ㅣ摡戴㐶㍡㙤ㄲ户㠸㈳敥扢戱㤵敤㥤㘵〷愵搴愵㐲昹㕡㐱换扦㠳愸㠹挶㍤㐴收㜳晢晥敡攴㑦㍦晢愵ㄳ㍣戹ㄶ昱㙡㡥愹攲㙥搲昷昴㉢㤰攰㑤ㅣㅡ戹㤱ㅦ改㥣挶攷㑡捥㙡搵㥡㌰㝤昱㠸〲挳㡤㡢㡡昱ㄲ㡣愹㤸㙦㈷戸㥢㌸〳愱摣捤搱戶搰愷㝣攴㈴攱挲搱挴挰㈵扥ㄷ愷㄰戵㡥挶慣㑢捦㌳昷㤷㌰㐷㙦㜳㈰慤ㅥ㈳㜷愰扣㌴敤㉦㘲㝢愷㄰㤹捣㌱㔸㌴戵慤搴㜸〴㈰搶㔲挸㐵㤰㐳㤲㥢ㅡㅥづ㄰㉤㜵づ㠵摣㍤〰㈹㔹戶昶㜴㉦㘳〳扢㑡挰㙡ㅣ〰散昲㠳ㄶ慣㈲愸ㄸ挷攵扢摤摤㌲ㄴ㄰㥢㈶愶㙤挵愷㌹㡦㠲㙣㘴㠸ㄸ㡢戱ㄷ㔰㠸慦摣㔱㤴戶ㅤ㥡攲㑢㑡慥㑡挲㈹挱捥戹㡣扢ㄵ摤㠷扤㍡㑥㠱挰捥攴挵㘰㜸㝢㠹挶收㔴昲㜵慡㘹㔱愱〸〷㔴戱搱愹㉦慡㠲捤昲づ㘲㠷㡡㐴㈰扦ㅡ㘲晤㐸昳搱㌷戶搷搰挶㜹扤㤸㈰㝦昰扦㙥㐹ㄱ㙣扣㤵ㄲ〳つ扢慤㔶〵㜵㔴晣㜱㜴攱愴㌳㥡搱㉣捡扤挶㝣㜵㉣㔹㔹㝤㠳晤㘷㈶㕢㈴敢〹昶㘶㑡扢挵晥㍦〹挴㤶昶㕦㝢㠰㝤昱㌳㥥㡡ち攲㥣㌲㤷戲㘵晡㠶㉢㠲㈸㌷ㄲ㌹戲㐹㌶愴挸昴户㉡㉤攰㐳㔶㔵㉤ㅡㅣ㌱戰㥥昶㘳ㄲ㡤扥昴㙤晢㍡㉡㐰收㠹㜲慦㐲〵㜵散摦慡户攲㥤㙥晥㌳攸戸敦戴㔳昶㙢㐱捤づ㠷ㄷ㤰〰ㅥ收㜷㘸㌶㝣㥥㜱敤攵㜶愵㜶ㅢ㔶愲晦㈲晡㥣㤹㠳挲㍥㘳㠵敦㔶㕥㤲㔹㠶敤㘵㌵昸㑤搲㘰㈲搵㐴敢㄰摣㘰㍦㔶㌷慢昸㡣㜵づ㜱捦㤰愸ㅤ㘱散㔴昴戹晤戴〶㤷づ攷戵ㅥ㐵㙣挸慡㡥㈲㔱㈶㔳㜸昲搳㕣搷昶㌵㘸㙤ㅢ捤㉤㘰换敥攲㙦挵摣㑢愰改昶摥搲捡㌲㝣㈷扦㑥㉥ㅡ换㠴搸㕣㈳㘸㤷ㄶ挴㙥ぢ搶昲㘹㐳攰昳攸攳㙥〶挵㐶慡〸愵㙤㈳ㄳ㕥㐶㔷㙤㥣〰㍦愳ㄲㄵ㜸愳㌱攲㐷㔱搴扥㠱㘹㔱〰㔰挶ㅥ㄰愰㌳㔷扦㠰㘶㉡㠲挰挶戸挸搵摡㌴ち昲晣ㄵㄴ攸户昱愷㌱㤰㈰㔸㈷㠹攵扥㔵戰㤷ㄳ搸㐱㙥㕥㈹昱挶ㄵ㠰㔲㔶攳㘶㠵㝣㕤搴晥ㄸ㙦㝣〹㍦戵㝥㉥㜱搸扣挸愶〴㘵㈳㘹ぢ㌴㙥㑡㘴㐶㝦㠴づ㡤ㄹ慤〲摢㜹㐶㕦㐳搳㡤㌳愲㍢㈱愳㑣㍥㝦㌰㌶㐷㐶挰㔷㠷〴㜵㠲㌵㠰挱戸攵〰ㄵ㉤攷㤲㔷㠹㡢㌷㐸㙢㕣㍦㡣晥扥㜵攲〷㙦昲晡慦ㄳ㥡愸㔶㔴戵捥㠲慡㔵㘶昱㤵攴㉣搶㠱敤㍣㡢㉦㙦㌶㡢挱愷搰㐷㔶昵㜳㈸㘰㔵挹㝤㌲慢㘷㔰攰㠲昲愷㤵㘳㙣㍣〳摣㘷〶挹㉡搲昷昳㈸㤴戲㠳㈴㉤攳㍣挶戳〴捦ㄱ㝣㠱攰㡢〴扦㐹昰㈵㠰㤲㍥㐸㙡㑢挳摦㈲昲换〴扦㑤昰ㄵ㠲摦㈱昸㕤〰㌴㈴〳㐸挳慦ㄲ昹㝢〴扦㑦昰〷〴㕦㈳昸㐳㠰㤲㥥㈳㑦晣㕡㘷搳㐸捦㌷晥愶ㄷ㠲搳昲昱敥挳昸ㄸ㜷㕤㐷晦㉣晥㉤㠲㥣搸昱ㅥ晤挱敥㥥ㄵ晢搲㌴挳戹ㅡㄶ晣ㅤ㍣㠷㔴㘸〶㑦昹挴㐳昸ㄵ㈰㑢攴㜰愱搱昳㈸挴㌴捡㤱攱㔲㍥搱ㄲ捦㤶挷㔹戹㥥㜹ㄵ㔲捦㉢㝦愶攰㐶戱昴ㅤ愱搵㌱㈵㝥昳摣搱ㄸ攷扢㍣愷愱戹戱〰㥣㍡搵っ㙤㌶〴㔰㈵㐸㈸戰㕣㐸慤ㅡ㌷晥敢搷㥡〱㌶㔴攰㠲㤴慡挶ㄴ㙣㘹㝣㈵㙥㝣ㄴ摦搶㐹㥢っㄹ㡡搷㕢㜱㘳㉡〰㘹㝣㌹㙥晣㥦㐷て㌶ㅡ挷昲慥㥥㥣愳㌰愶散㔲㘴摦㤶昸捥㝥〰捤㜳㌶㍤㥦㍥㕢愱挹㠸㜲〰愰㉡扥㑦㍦㡥昴昸昸搲㝤ㄶ㈷搴㜰㤰〷收㔱晤㠳ㄷ㌳㌸戹㌶㘵㠶㈶㍥㘴㕦挳㤱〱摦㤰㍢㜶捥摢㜳㍥㄰扤昶㑣㠰摤㜰㘵㐷戱〸ㅣ戹ㅥ戵扥㕢愴㔶㔲㥣晥收㝡挴愹㑥㥤㈷㠱扡㌳晢㤲ㅥ敢搱㔶㘲捡㘶㥥㙢昲㡣昱〲㠸〳㜳〴挸㠲昱㜵㐰㤵㑥攳㤹昳捣㈰昵慣㈸搱ㄷ㔹昱㈷〴㝦ち㔰搴愸㔴挹〷昹㤷〰〶攲㝦㙥㘴㜸㑤㈲㕤扡㜶㌱㝥㔹㤲㡤㡣㤷搹攱ㄵ㠰㉣㠲敦㕡挴㠴㐵攳㔵㘰ㄲ㉦搵愸愰愹㌲戵㈷昱ㄴ敡㈹㙡㤱愲昶㕣㡣晥㔴㠴愶昳㕦搴扥㄰愳㥦㠸搰晢〵晤挵ㄸ晤㜸㠴㍥㈰㘸㉡㝡㜹昶㠵〸㝤愷愰愹晡〵㝤㍥㐲摦㈵㘸㕡〰㐱㥦㡢搰㙡㈴戴〹㠲㕥㡣搰㙡㈴戴ㄲ㠲㕥㠸搰㙡㈴戴ㅢ㠲㍥ㅢ愱搵㐸㘸㐹〴晤㔸㠴㔶㈳愱㙤ㄱ昴㝣㠴㔶㈳昹㙡㡣㥥㡢搰㙡㈴㌴㍡搲晡㑣㠴㔶㈳愱ㄹㄲ昴改〸慤㐶㐲挳㈴攸搹〸慤㐶㐲㔳㈵攸㐷㈳戴ㅡ〹㡤㤷愰ㅦ㠹搰㌲㤲㐱慡㜵㘱㠹扦㐵挱㜸㥤攰つ㠰㘲㡥慣戴㙤㥥㈶挷㜵改ㄱ晥ㅤ扡㙡㘴㔴㍥挳昸㔶㔴攰㡤㐶㉥㤵㈱㑦㐵㐳㝥〸㠸㠲㥥搷挸戹㔲㌱ㄹ㔵ㅣ㤷ち㑤㈳㌷㑢挵㐴㔴㜱〲〸攳敦〱戴㤷〱㌸㈷攳㍢扣㝢㤵㠰㜷摦㡤ち昲㐲慥㠱㜴晦㘴摢ぢ戹㉥㔲㜱扣敤㠵㕣㉢愹㜸㈸昹挲㝦攴㐳㘵㘲㈸戴㜸㔳㠳㥣愰慣昷昷㔰㈸㘵〷㌸戶ぢ昸改搷戴昲挵捡挵㡢扦ㄸ攸ㄹ㍥搴昳昸慦昷扦昰搶昷㝦昶晣㡦㥥㍡晥ㅦ扦㝣昱挵ㅦ晤摢昳㙦晥昲摢换挷扦昷捡㉢晦昰挸㑢㙦晥㙣慦晤㑤晤戵㕦捣㝥昳㤹戱㉢捦㍣㙤㥦扢晢攴㌳㑦㕣㝥㙣㙣晥㠶㤱㙣戶户昷㡥愱㝦扡改捥挱攷㥥㝥㕤晢敥扦ㅣ昰戴敦攰攱㌲㔳扥㈵扥〶㌹㙤ㄹ挶㍦愳㠰㘱㜰挴敦改㌰㌸㕤㔹愸㡦㐷ぢ㌵〱〴ㅤっづ㐰㉡㡥戵㔶昴晤て㥤㠵㘰愹</t>
  </si>
  <si>
    <t>Intervalos para negociação</t>
  </si>
  <si>
    <t>PV of CF for the explicit period</t>
  </si>
  <si>
    <t>Company Value for the Operations</t>
  </si>
  <si>
    <t>Appendix 5.1 + section 2.3</t>
  </si>
  <si>
    <t>Receivables</t>
  </si>
  <si>
    <t>Present</t>
  </si>
  <si>
    <t>Explicit period</t>
  </si>
  <si>
    <t>Long-term</t>
  </si>
  <si>
    <t>WCR/sales</t>
  </si>
  <si>
    <t>Brand value</t>
  </si>
  <si>
    <t>Invested Capital</t>
  </si>
  <si>
    <t>Capital Employed</t>
  </si>
  <si>
    <t>WACC on continuity</t>
  </si>
  <si>
    <t>WACC on the explicit period</t>
  </si>
  <si>
    <t>Average of the range</t>
  </si>
  <si>
    <t xml:space="preserve">   Goodwill</t>
  </si>
  <si>
    <t>If Transaction Price = Instrinsec Value</t>
  </si>
  <si>
    <t>Relative Valuation Based on Stock Market</t>
  </si>
  <si>
    <t xml:space="preserve">   Control Premium (absolute value)</t>
  </si>
  <si>
    <t xml:space="preserve">   Control Premium (%)</t>
  </si>
  <si>
    <t xml:space="preserve">   Goodwill in % of NAV</t>
  </si>
  <si>
    <t>㜸〱捤㔹㕢㙣ㅣ㔷ㄹ摥戳扢㌳摥㔹摦戶㡤㕢㑡㤳戶㕢㘸㠱搶改捡㙥㘳摡㔲㐵愹扤㡥㕤㌷㡥㜳㔹㌷愱㉤㘲㍢扢㝢挶㥥㝡㉥捥捣慣㉦㐵㄰㄰㑦㙤ㄱㄲ愲〸㕡攸〵㠴㠴㈸㠸㡡㥢㠴㠴愸㜸〱㤵ㄷ〴㠲ㄷ㈴㠴挴〳㐲㐲㍣戴㉦㍣㈱㠵敦㍢㌳㙢敦慥搷㡥㤳〶㈹愷昵扦攷晡捦昹慦攷㍢㈷㈹㤱㑡愵㉥愱昰㤷㈵换捡愱捡㘶ㄸ㐹户㔴昶ㅤ㐷搶㈳摢昷挲搲㘴㄰㤸㥢昳㜶ㄸ㘵㌰㐱慦摡ㄸて戵㙡㘸㍦㈷㜳搵㌵ㄹ㠴㤸愴愵㔲戹㥣㤱挶㜸敢慦搰慡ㄸ㕣㘵㘴㐱〶㌰㉢戵㔸㥥㍡㔵㝢ㄶ慣㉢㤱ㅦ挸挳挵㜳㌱㠳愳攳攳愵昱搲㤱昱戱戱搲搸攱㘲戹改㐴捤㐰ㅥ昵㘴㌳ち㑣攷㜰昱㜴戳收搸昵ㄳ㜲㜳搱㕦㤱摥㔱㔹ㅢ㝢愰㘶ㅥ㜹㘸晣挸挴㠴昵昰挳てつ攸攰扣㔰㥥㍡ㅤ㐸㉢扣㔶㍣晢挸昳㔴㜹慡戴㈰愳㙢挵㌳〷㥥㘰㌹敤扢愶敤㕤㈳愶ㅡㄵ㍣㌱㉤敢㌶㉤㈱㘵㘰㝢㑢㈵㙣扢㐳搱㘸㍤㔸㥡っ挳愶扢㑡愳㤶愵攳㥣㤵ㄶ户㘳戸搳㘱㜴摡っ摣㜰挰愵晥㘴㈰扤扡っ㠷摣攳ㅢ㜵改㈴ㄳ挳㥣㝢捥っㄶ㑣㔷㘶㔹ㄹ㜶㘳ㅢ捥㌵愴ㄷ搹搱收愰晢㐴㈸捦㥡摥㤲攴ㄴ捤㥤㙤摡つ㤱捤攲晦㔴收愳扤㜶愶っ㠵晤戸攵㘵㌳㠸㔴㡢㈶ㅣ敦㌵户捤㕤㤴ㄴㅤ晢愲㑢ㄵ扢㔶搱㘶ㄵ摢㍤㈱〳㑦㍡晣〸㉤㌹摡㌵㐹㈹㈸戶挳㤶愶㕡攲㔰㉤愲㍦㠹〴捡挲慦攸〶挸㝤昳晥搲㠲ㅦ戸昰挹㤳搲昴㡥挲㕢㈷敥㍦㕣㠹ㅡ搳㜲㡤つ戶收晤扡㐹ㅤㅦㅤ㌳昲㔸㘲昴㜳昱〰挸㐰搹て愳愲㙦ㄵㅢ戲ㄶㄹ㠳ㅣㅢ〲ㄱ搹昷㄰㠵敤㥦攳㡡㜴搵㑣㔷㙢改㙡㍤㕤㙤愴慢㌲㕤戵搲搵愵㜴㜵㌹㕤戵搳搵㘷搳搵ㄵ捣㘹㤵㕣㕦㕦㍡㈹晦晤晤㤹ㅦ晥昸挹攱㠵㌷㥦晢挸㕦㝥昱㡦㤷晦㈰ㄸ㜸㉡㙥ぢ愸㡣昶搸㝥挷敥摢㌷㝦〳ㄶㄸ㌷㠲攸〷㐰づㅣ扦搰㠴愵㡢㠱ㅤ慥ㄴ㔷〳改摡㑤搷ㄸ攱㤴㥢㐰㠴昸ㄷ㘴愰ㅣ㝦㍤㤸晢挹㕤扦㍥㌲晦㠳摦晣昲㠶晡捦晢㝥㌷昰〱っ㥦㐹㜴㌹ㅤ㤸敢昰捥㙤挷扦扦〴愵敤㈷攲ㄱ昰搶㠴昵愰㌵㍥摥㤸ㄸ㌳ㅦ㌰㌵慡㜶扦慥㐵搱〷慣昳戶搷昰搷㤵慦ㅤ㥡㌲㐳戹敤㝡愳挹搸㤴摦昴ㅡ攱挱摥㠳㤵挸㡣攴慤摤㘳摢㑣㜶㉣慢㈰ㄲ㘵愸扥㜷㝢昷戲㜳愶搳㤴㤳ㅢ㜶㍣㝣㕢搷㌰攲搰慦敤㍥㍡ㄳ挸ぢ㕢愳㍢㜶㌴㠹慣扤愶㜸敦㤰㌲ㅥ㡡昷㔵㉣㉦晢愱昴搴昶㐶摤搳㜶㝤㐵〶ㄵ挹㥣㉦ㅢ㑡搴㥢㌸㤴㈴㠳搱㔳ㅥ〴㐵㜸㌷㍥搴摥㙢ㅤ摦㠸愴搷㤰つ散㜷㔵〶搱收愲㔹㜳攴捤ㅤ㔳攲㙦㘲攰㠳ㅤ摤㌳㝥扤ㄹ㤶㝤㉦ち㝣愷㜳㘴戲戱㘶㈲〱㌵㑥晡つ㠹晣㤱㘵㐹㠹㔴㈶㈳㐴敡摥㕥㐱㑣扥㘱㐹ㄹ愲捤挴㑣㈷户㜴扡㕤改㉣愴㠳ㄴ㡥愴㑦愶敦扡っ㌳挵㤷㙣敥搹㝤㘲㥢㑣㍣㈰㌹晢㘳扢捦㔶㝢摣戲摣晦㜷㜲㍡㝤㈰㤱晥昸ㅡ㤲昴㘳愶搷㜰㘴戰攷昱㉥戸㈳攳ㄶ㄰敤㥦㠸攴㕤戵挷㤴㈲㌶挴愶戶㙥㌷愲㘵㝤㔹摡㑢换ㄱ晡〰〱㜲㌹慡㜶㐷㌱㙥㐵㤷㜱㤰攴㄰㐸㍥㥦搲㙦攳㈴㍤㙦摣ㅥ户㌵收扣㉢㑦晦〴ㄹ㠶㍡㙥㠰つ㐲捤㥤昱㠳㌰㤳改㈵攵㘳㘶戸ㅣ搱㍤昷ㅣ㘴愲㌷敥㈰㈹㠲㘸捣搱㤷㍤㕤㠶㌱㈹换㐳㜴搰㥤㤶㤶〹攸愲愲㕢㤸㥡ㅢ㥦㠶搳㌲慣ㅢ㍣㌶攷㄰㉢ㅢ㍡㙡〸晥〱㤷摥㉦㌷愲㘹㌳㌲晢㕣ㅣ挰戰㤲㠱㐹愳㙡㔵㕣攳捡㐱搵搷㕡㥤㑦㕡攰㔰㔰搵㌶㉥晤慡㈳收㠴挰㐱扣愴㌲〹摤㕢〸散㥤㐷愴摥敤攸㥤〷㈹捥昷挶慣昴ㄶ㌷㔷㘵挸改㌹㝤㑦㔵㜶㠷ㄷ㤹㥤慡搷㥥㠸㙣㈷㉣㘱愷戳㠱摦㕣扤㤶㝣挸换戸ㄳ愴㔵戴扦挱㡢昷㉦ㄳ攱㙦摦ㅡ㙤㔳慤愶㜲攴挶ㅥ㠳㈷户㐱㙦〵戳㑢昸㔱挵戸ㅢ㍦昹扤挶㌴ㅥ敤㔷〲㍡攸㝡〳㉥㌴戴ㄸ㐸〵愳㜲慡〱㙤て扡攷晤㘰愵收晢㉢昴愷㈱搵ち㤷愵㡣〸㑤晡ㄳ㈸愶㈰㤷㄰㤹㑣〷㤰㘸挳㌰〴㌵晡㍤㈰㠳㤳㡥㔳㙣㜱っ昵㝢搱㤵〱㐸搲㐷㔱㜹愰㡣㠳戱㌸㉦㙢づ㜲㌰㝥㍤摦づ㡡昷ㄵ㉢扥搳㈴愴㈹㍥㕥㕥戸慦敥㤸㘱㔸㔷挷㐱㘹挳〹㌷挴㥦愱ㄸㅥ晤㥦晤敤㌳摦㝢昱摥搷㑥晣㜴㜴昰慤攷て㥤扤㈸晥㤴っ散〰㈵㠴ㄶちㅢ㤵㔰ㄱ㝦挴㌴㈶ㅣ搴㍢㡢㌱㠶戶㌱㑥㜲㍦〸搲㠶㌲〴戲挶㤱戸㈹〸㑦㤸㌹㡣〹㤲㡦㠳〸㘲ㄲ㠵慤ㅥ㐴愵㔵挴㍢攰㑦㜷㔰㈶㈵㥥搹㘹搲㐷搰㥢㌷昶ㄸㄳ㐴㍡㌴慢㐱㌵ㅡ㔴㥣㐱愵㠹户挱戸愷〲㝥㤵っ㜴㠳㈲㡤㐹昶ちづ㌳㈵愲㜵捥㤶敢㡣扥㈱ぢ㘸扢摣っ㈳㕦愵㡡㐱㙢摡㕦昰愳㘹㍢㕣㜵捣捤〳㔶㔲㌹扦㉣㍤ㅣ攴〱捥昳慥㍥㝦㜵㔵㌶っ慢攲㌷㠳扡㥣㥢扥ㅥづ㝡愸〳㝡㔴㘷㝣㕡愰㕣摤搹〵ㄸ㉡攰㈵㈸㈹㡤㈷㑥㜷ち㔲㤸扦つ㉥愸㉡挱攱昰戶㐶ㄷ敤挸㤱晤㤶㍡慡㔵㍤㘷㐱㡢㐰㐷㡤㍥㙢㜱ㄹ愱㌹㍤㘸捤〶㜶挳戱㍤㐹㘳㡣挴㔳攷攵ㄲ㤰搰㘹㍦戴ㄹ㈷㠳搶㘲㘰㝡攱㉡㤳㝡㝤昳挶㡥㤶捡晥㥡㌵㘵㝢㈱㍥愳慣挸晡戰㔵㔹昶搷㜱敤㙥扡摥慣戹ㅡ㕥ㄷ㔶㘱戴挴㐵㤹㐶愴㐵㍡㉤㜲改摣搵摡㐷㥦〶户㥢㜱〹昱搴ㅤ慡〸㔷㡤〲扢愶㜲㡢晡づ挳㍣㑢愲捣㤸搲〸ㄹ扡㌳㜸㥢ㄵ扢攰ㄷ户摢㜱㠹敤㠹〴戶㥥㌳ㄴ摣㌹捥㌵㌳㈰㡦捦㍥㌱户㝤㌱㜹㕦捦ㄱㅡ㐱捥扥㜱愰捡㉡戱ㄷㄱㅢ搲愹㄰㥣㜰〶戶扡㍤㌳㙦愹㌹㜴搲愱敤敡っ愰挴㠰㌵㙦搶愴〳〴攴㥡搱㔰摣㈰ㄴ挵㕤㌵㑣挶捡扥敢㥡昴㍡㕥扡㉢㜵搳㤱㌹㙢戲ㄹ昹㈷㙤捦戰㐰㤴㙢㈶㕤收〶扡捣㡤ㄸ慢㔸㘷㜹㌳㔲㜵昲昲㤷捣挰㡥㤶㕤扢㥥㘳㠳户㤷敢挲㕤㤱㐲㠸㑤㕢愵㤵㑥扡挱㑦っ㐱㘰敥ㄲ敥ぢ㔴ㅤ捤て愷㑥ぢㅤ晦㠹慢〴捥㐸㍥敡㑣㌱ㅥ〳㌷㡤挰㤴搹㐸㤵㜷㕢㙦㙣敦㕥㐴㡦捡㑦㠲戸㤷挳挶㕣㔲㘱㈳㑢攸戹㈷慡㈲㉣挹捦晢㘶㘳挶慣攳〱慤㉦㜹㍥换挱戴捣㌶㐱㠱㌸户㡣慢ㄳ慥㘴㙢㜶㐳〶㌹㜶㔴昰㔶㤷㈵㐲搶㘳ㅢ攲挴捦愴㌴慤㍦搷敢㕢㜳㉤㕥㜷㈵攸愱晤㉤㜰㙥〷晦㝦㥦㜹攸ㄸ㌶〵戱搴㐳摦攳愸ㅡ㈷㐰㐴ㄱ㠴昲㜴㑤㤸㐷㤷㜱ㄲ㐴扢ㄳ愴摢㌶㥤㤰ㄳ挰㤴慦㉥㔹昵昰㐴㌰㥣〳㜰㔴㈸㕡㔳㠲昴户愱㕦㍤〶扥戹搶㙢㤶㕥㠱㤷换㐶㍥㑥戱㐴搹㌴㐷㍡㥤㠵愹昵敥㤷㠳ㅤ㥦〵㌳户㈲ㄵ㉣ㄶ搴戹扥〰㌲挲㘰〱晦㙡挷㐳㑥㌷㌶捣攷㡤搳㤸㥣捡ぢ㠲挴㤶〶㜸捣攴昳ち愳㥥㐱搵㌸ぢ㈲〸㝦〸〵摡づ㉥㐱捣挳挳㉢愵㔷㐰慥㈰㔹ち〲㈵㜵挷㕡㐴㐵㌰㡢㌲て㙤昹攵㌹搴㉦敦㤷㐴㔶捡㉦捦㈷ㄵ㌶〴攱㔵㑢ㄲ㔴㕢挶晥㈴慡挶㤳㈰㠲搰慢挷㠴愷㌸攱㘹㑥㈰ㅡ愳挱昵㑦㠱ㅣ㙣㈹戲搷愳㔲て㝤㝥ㅡ㙢愰㑦㈲戴搶㐷ㄴ㠴㡣昵㔹㐵户昱っ㠸㘰㌲㔷㥢㌷㤳ち㕤㔲㘳㐰㜶晢搹㡥ㅣ挰挴㤱户㤸つ㉡搱愶㠳っ捣㉡晤㉥慥㌱㠲攲㘱㐴㠳ㅦ攰慤㍣摢㝤㍦摥㕡换㉢㜰晦㐸搷摢㠳㕡挶ㄱ㈶ㅢ敤㌵〰挳㕤搷㔳㠲敤㡢〸搷戰攸㜵㤰㤱㤳㜶㍤昰㐳摦㡡㡡ㄵ〰㡣㈲摦㜲慣㔴㙡㙣㔲晢ㄶ㌸昶晣㈶〵换㝡㝣㤶㕤攳摤㈶扦攲昹敢㥥摡㡤ㄶ昲㐹㑢改慢慦㡦㥦㈱㈴㔷攵挳搰㘲㠱㠹㠹㡢つ〹㌲㤸㈹㌰戲㔹ち㡣㙥㤶〲㐳㤹愵挰㜰㘶搱攸昸晢㡤㉤昲ㄶ㌵㔱ㄷつ㈱戳㝤㝤攲敥慥㠷㤳ㅤ㌱戹㜵昳搴㜵挶㤱昶ち㐴摥摦愲㑥㡤㜲戱ㄲ㙣〹ㄵ㘳ㄹ㈴㕦㘰㑣戲㑦户㐱㠶捡㔳搵㌶㘸愱㍦㡢扥〱昴愹㥣㠳㘷昳㔰㕦㐱捦つ攸改㝣〶搷ㅤ㜴摦㠸㙥㕣愷㕡ㄷ㉣扡㔰㠱挱慥扥㐸つ慢〷㘱挳㘷㙤ㄴ㐴愸㘸㘵敢〲㕢昸愳搳ち㐶㉢ㅤ㔷㝣ㄹ㔲搲㕤㔰㑦ㄹ昴〱㥡㕢㝣〹㍤㌴㜹愷挹捥㘳㔰㝤愷㠹ち㑣挶昸㘴㈹㌰㐶㔹ちっ㐸㤶〲㠳㤲㐵㌰戶㘸㌶昱〲搸㔱愵㡡挱㍡㝡㡣つ㤰㝣㠱攱愵晡愸ㅡ㠳扡㌰㈸扥㐱㘱ぢ捦㠰愸㐱挶愳㝡㉤㌶㉥戲㐶挹ち㘶㙢昰ぢ愸っ㘶㌴㍡搲㈳㕤㔶敥㡤收㐶扢㕦ㄶ㡦攳愵㜰㤳㠷㙡〶挷㔸㥣晣戳改㑦㕣ㅤ㉦晡㤱づ㔶晣搳㍥〷㠹摦〷㥦㑥捦㈲挷㍢昰㘷㝣ㄱ㘴㤸敥愵攱㡦扤㙤攵摤㘳㐹攳搱昸㜷㈴昹扤攵搱㘱晡㘲挷㡡搷摦㝢昳㤱扢㕦㝤敢㔲昲㝢昱攱㥦扤戳昶昶敢㙦ㅥ㝢改㍦㝡昵ㅢ昳捤㘳㠲㙥搴敢㑡扡〹戱㝡㕥㐹㌷㤲㠱敥㍢㜹㠱摥愷㉣昹㍣㉡㠳ㄹ㐱ㄷ愲挱挴ㅡ㔶㔰㑢㑡戰ㄷ搱㌳㑣攷攸搸㈶摡㈸㝢〸㐶㑦敡㔸搱㉤搸㉢㉦戳㝣晦搸㘷㐶㝥㌴晢昷攷愲㘳㠲㕥搴㑢戰ぢ扢〹戶㥡っ散戸㙢搳昹㉥㜷搷㙥㝢慢攷㜳㥥㘶㌱㙣晢慤戸㥢晥㠲摣㙦㍢㡥㑡㥢〳挰挵〱㕥换攷㜱〳〴ㅡ挶扦㌴㈵㔹〰㌷㐳挲㡣ㄶ昲㌲㔴㑢㌹㥢㜵㉡〰ㄴ敢戳收㐲摣摣ㅢ㌹扣昶㐵ㄱ晥㜵敡㝡〰捤㌸挸戲㡣㉢㐲㐲〰愴㜴捦㌳㠴㠷挳ㅥ昷㤹㙤㝤戴ㅥ挱搳㠴搳㔷㜷㠹搷扦㠲㡦戵挱㥥㐶摢ㅤ㌱㉢㍣㔸㌹捥㝢㥦㑦㕤攲慥〱改㔲挶㔷昱愳扦〴挲㠷㉣㤵㐳㐱昲挶搷搰ㄳ㘳㜲昵摡慣㌱㉡扢攵攳挱㍥㐳〵㜴扤㘶昷昷㔳攸㔶ㄱっち㍡㤲晥㜵㤰㕤㜷户摣㜳㜷㉦㘳㠹挱摤㙤敦散㥢散攲愶ㄴ㐹〹㠶ㄵ㜷搷㉡ㅡ㈵摡户挶㤹㠴づ挰㌷㤳㝦戱攷㝤㙣搴攱扦搷昷㠲昷㥤搷摦㔷戱㔴㔰㑦攴㘱扣㤶㔴搸㄰摣㌶户㘱扣捥ㄶ㜷慣收扣㤱㔴搴ㅣ戵ㅣㅤ挶户㐱㕡愵㐰㌶㉡㤵㝣〷ㄵ愴ㄲ挵〰搵捥㔹㙦戴㘶㝤㔷捤㉡戴㔸〸慥㔲㤹攷㘹愸㤳㤹㘷ちㅤ㌹㤱ㄲ㥣愸〶㥥敡ㅣ攸晦ㅦ户ㅥ㐶攳</t>
  </si>
  <si>
    <t>㜸〱敤㕢㝢㜴ㅣ搵㜹摦扢搲㡥昶慥㕥敢〷てㅢ〲ぢ㈱〶㉣㔹㤱晣〸ㄸ敡摡戲攴㠷ㅣ昹㠱㈴攳㄰㈰㘲戴㍢㘳慤扤て㌱㌳戲愵㤶㤶攴㥣㈴つ㐹㘹挱挹㈹㜵ち㠵〲㌹〵挲㈳㝤㠷〰愷挰愱㤴㔰愷㐹㕢ち愱㌴㍤ㅣ㈰㈱㉤㌹つ㘹ぢ㈵攷愴㜵㝦扦㙦㘶摦㉢㔹ㄶ捥愹晥挸戵昷㥢敦㍥攷摥敦扢昷扢扦晢捤㔵㐸㠵㐲愱攳〸㝣㌲㌴㤲㌹㝢㜸摡昵慣㙣㔷㕦㍥㤳戱㤲㕥㍡㥦㜳扢㝡ㅤ挷㥣ㅥ㑣扢㕥〳ちㄸ愳㘹攴扢㤱㔱㌷晤㉢㔶㜴昴㤰攵戸㈸ㄴ〹㠵愲㔱ㅤ㘶㉢挱㉦㕥㠸㘸搶搲㑣搶㈸ㄵ搲〶㐸㑢ㄳ挸㐸摦收摤㘳〷昰㤲㘱㉦敦㔸㥤㠹㉢晤愶㌶昴昴㜴昵㜴慤敤改敥敥敡敥㑣昴㑤㘶扣㐹挷摡㤰戳㈶㍤挷捣㜴㈶昶㑣㡥㘵搲挹㡦㕡搳㈳昹㠳㔶㙥㠳㌵搶扤㘶捣㕣㝢㘹捦摡㜵敢散昵敢㉦㙤㠹愲攵㕤㝤㥢昷㌸㤶敤㥥慡㌶㌵摢摣摤户戹㙢㤷攵㥤慡㌶㘳㘸ㄳ㑤昶攷戳㘶㍡㜷㡡ㅡ㡤㔰搴敢晡慤㘴㥡㍡戱㉣㈷㥤摢摦㠵㙥㔷〸ㅡ戱㑢扡㝡㕤㜷㌲㍢㐱昵昶㔹㤹捣㤰㘵㔳㙣㍡摢敦㝡㝢㑣㈷敢戶㘴㈹㍦换戱㜲㐹换㙤换㙥㤹㑡㕡㤹愰愰ㅢ捤㕥㘹㍡扢捣慣搵㐸愶㍤敢敢㜰㈰㘵攵扣戴㌷摤㥡摤敢㕡㐳㘶㙥扦挵㈲㤱散戶挹㜴㑡㌵㌶攲㝦愸攱挲㝡㍤ㄳ㐵愱㍦搹扥㜱搳昱㈴挶扥昴搴㉢㕢㌶㕤㘴ㄴㄵ晤攲㤴㑡㔴搵愲捥㠶搳搹㡦㕡㑥捥捡昰㈵搴㘴㐷㔵㈱ㄱ㤰慦㠷愲愴ち挳愱㤶㔴㜳戰㈶㌸ㄶ扥挵㘸〶㌹㙢㔷摥挹㘲㐲敥戴捣摣㠶㥥慥㌵㥤挳㕥慡摦㍡戴愱扢慢㘷㡤㙥㐱〱摤捡愲㙤㈰㉤晢晡㠶ㄲ㕥㍥㌱㙣㘶㉣㔷户㌳㉦づ愲ㅡ㝦㡣搵㔷摥㌸摢つ㡦㥡攱搱戱昰㘸㌲㍣㥡ち㡦㕡攱㔱㍢㍣扡㍦㍣㍡ㅥㅥ㑤㠷㐷て㠴㐷て愲㑣㈱㐴㥢㥡挲㐱㔸昹愹㈳愹㤶ㄵ〷戶㍦㜴㑢晢㘵敦ㄸ昱㘵㡡ぢ㑥搶敢㘲㌰扦㍣攲愴愱㤳挹㡣改㜴敥㑣攷搰挹敥搵慢搷㜵㤷㠷㌵㥤㠳改㠳㔶㈶㙤戹㥥㘴慦敢摣㘹㑥〹㜷挹㍡扤〴㙤攸愵㈰挶㘹㈰㑢㐷㉣㈷㥢捥㤹㤹挴㌶㈷㝦搸ㅢ㑦っ㤹㥥愵㑦㘷㤹㌳㐰㤴晡㈱挶挵戱㕤㜳晦㡦㔶晣摢㤶愳㍢ㅦ㌳㉦扦攸攵㥢㥥昸㐱㠴〶㘰㑤㍤昱㔷㙢㜶㉢㉣㐲搲㜴扤㘰搲㔱敡愷㜶㑥㥥㜸㑡㙥㜵㤲㍦晦㈹㠹㤷㥣㤲㈹愹㤷㔱晡换㐱㡣戳㐰㤶て攴㕣て慢摦戵㤲㠹㉢捤捣愴㤵挸摢㠹㉤搷㑦㘲㠱敡戳㔹昲〳㈰㑡扤ㄶ攸改摤晢ㄶ㑤㍦扦㙤攵愶㥢㍢㥢ㅥ戹攳挶晤㤳㡡㌶㕡㈶捦戹㘰捥摣㥢㑢摢㤸散挱捣㔹ㄳ㑣㡣㌵ㅦ搱〹攴敡昳㐰㡣昳㐱愲㈳收㤴㍦ㄵ㍥挸昴ぢ㐰㤴㝡㈵㜸挵㕢㙢晦捥㌸昷戶㔷㌶ㅤㅤ㜹改摤㐷慦戸敦搳㉤㉢㤰㝤㐵戰戰晡ㅤ昳㌰㑣㔵挹ち慥敥挲っ㥤㡢昹㠷昵户搷搹㤷搸㍤㍤愹㜵摤收ㅡ㌳挲㤵㌷㔷㍢挳㐵搸㘲敦㑢攷㔲昹挳㘲㜸捥摥㙣扡㔶㐹改ㅤ㐱摥收晣㘴㉥攵㥥㔵㍦㜳搸挳攴㕦㕥㥤㔷㙡愴愶摡㌰捣戲攵捡晢捥愹慥㈶扡敡㥤㑡晢搹ㅦ愸捡㠶㔱捥㡦捤㥣扢搵戱慥㉦收搶昴愸ㄷ㥢昹㈱㡢昹㌵愳昴戳晣㝥㈵晡挶昳慥㤵㤳敥㜵㘴昷愴㤳〷㉤㘷搸㈲ㄴ戰㔲㌲搴搳㤸ㄵ散っㅤ扢㜳ㄸ㈸㙣㝤敡晣昲㔴㝢换㤴㘷攵㔲㔶ち晤㥤戰ㅣ㙦㝡挴ㅣ换㔸愷㔷ㄴ昱摦㠹㡣㘵ㄵ挹㕢昳挹㐹户㉦㥦昳㥣㝣愶㌲愷㌷㜵挸挴㙥㤴摡㤹㑦㔹搸㑣ㅡㄹ㐲㉡搴搰愰㔴㘸㘵㍤㤳挲㜶摤㉥㔱㐴㤹㡡戹户㥣㔹㌹敤扡㠶㌰㍡㡣㈲㘳㜱㑥㠶㉦㌸㐱㘳搲㉥㥢戹㜸收㠲㘵㘳㈲㙥㘲改㡢㘶㉥㉤㝤㉣㙡敥攷㕢㌸ㅣ㕥ㄲ㡣㝥换㈱散搸摢捤㕣㉡㘳㌹戳愲㍥挵ㅥ改ぢ㐱㈲摦挵㙡㥥㔱㝡摣㜱搴㤴㥡㡥ㅣ㑥愷扣㜱㘳摣㑡敦ㅦ昷㤰〶㘴ㄸ㡤㔲戴㌵㐱㕦㡣㈴扤㤲愴〳㈴ㄶぢㄹ㥤㉣㘴挴昴㉡㍦ㅥ攱㈶㝡昲㔸㠰搸㔳ぢ昶〰㔰㜴㈳㔹㙣㈷㙥㐳㐳扤㔱㙥㌷摤㜱㡦搳㜳搶㑣敥㍦扡㡢攴挳㈰ㄱ㙥攱㈷㠴ㅡ㉣搴㐸㐴搵㥡敤户㙣ㄳ㌸㔶㔶户㌲㈳㔹ㅦㅡ昵㕢㙥㔲ㄳ㐳つ㘰慤㑣ㄹ攰㘰愸㕢戲㥣晤搶㤴搷㙦㝡㘶㔳ㄶ㘸っ㕡搲㈸搴㈱戵㝣㡥㌵㕢㈵慤㔰㍢ㄶ挴搰㐲㕣搸戲㔶㥡㈵挱㙦〹ぢ〷敢㈵搴㄰搰搹〷㠱扥㜳㜳㌲慡㈷㝡㈵慡〲搸㑢㙤戳㜲㈳搳ㄳ〰㌷㈸ㅥ㌵㘶ㄵ㘵昵昲㘲㘳扢㤳㘳㝢扤㜴挶敤㐲㑦〱㈹㈶㈷㑥㘵㍢㙣㑢㜷㠳ㄴ㐲攴摢㤸挵㜳ㅦㄳ㑦㐵㑤㠷愸㥢搱搱㔰㤴慤㌱㐵ㄳ搸㘹捥㔶㌴㜶ㅣて〹㝡㉤ㅥ戱搹昲㈲摣㜴㑥〶㠱ㄲ㌲戵㘴㈱愱ㄱ挷ㄲ㑣ㅤ㤵〸愴摤㥡摤㤷㜷づ㡥攵昳〷㌹㥦摡㈴收㡥㕢㤶㐷㥣摡ㅣ攰㜲挱摦㑡㌵㌴㔴攰捣㌲㐰㑢㠴㙢㕣ち搲摡㥢挹㈴ち㉤扡挶㝡㈴㌵〰㌱ㅢ㤷㠱㔹搳㠷㡤㌱㌱㘸㡤㘵㘰㠳昱捣攵搳㑥㘲㔵㘲㌸㥦㤹攴ㄹ㈲戱愳㙦搷慡㘴挶㜴摤愴㙣〷㕤㔳ㄹ㜷㑡晤ㄵ〴㐳ㄴ昸挳昷摥戱ㅥ㜸㜸昱昶〷扥昹攲㙦摣㜱昳昰㑦搵㌳㐱㐶つ㘶㈵捣ㄴ攸扣〱㡣㝡ㅡ挵㘸㜰挰㔷〶扤ㄱ㜱扤㠹愴ㄷ〴㘶㐳ㄴ〱慢搱攷㐷ㄵ愱㉡㉤㠷敥㈷搹〲愲〸㑦〵㝡㙦〵㔳〸敡㔱戴捦改㈰㉡㈵戶慤㔵改づ愴挶昴㉣㜹㡡愰㤷㙡搵ㄴ愳愶攰㌴㠵愶ㅥ㐱挳㜵〵昰㜰㤰㔱㠳㡦㠹攲㘶㐱㉦ㄵ㤰㤴㘳慣㐰㉦㉤昶搶㜴挶戳ㅣ搹愰摡㙤㍣晣㜳愰挴㕢戹㈹㍢㘶搲㍦㘱㉤戵晢戰㉦攳攰改㑤换收㈳㐵㙡㜰㠱扦㙤晥〲晤㉣㌸昴㈳搸愷〲〱捤㠲㉥㌰㘹慡昰捦散㠵换㈶ㄱ㌷晥扡戶㑡收㑢ㄷ㕡慥㥣㘴㉣㕦㙤㔸攵㜴㕤㉣㕦㍥〹㔹扡㝢㘶㔴挴挹㕥㍢㐹㔹㘹㐶〴昲ぢ晣㔶捦㙢攷攳户㘱〸㑥㡦㤰散㈵戹㤲㘴ㅦ㠸扡て挶㠸㘶昶㜱搸挰慢㤰戰〲㌸敥㐵〱㔰㡣改㡦㤳㕣つ㔲㘶㘶慦㐵搴昸〴㐸㝢攱㥣㥥昰愷㔸㉣愴㜸〶ㄵ搳㍢ち㐶㕦〷搲㘲㠲散摡㙥㘵㜰ㄶ㌸㔵㉥戹〸㑦戱戳愳ㄷ捣ㅦ扡㍥㑥捦づ㑦攷㤲攳㑥㍥〷㝦㈵㐱㔵㙦ㄲ㍥㉤㔷㤹㐶㜶㌰摦㌷改ㄹ搹敤㘹㍣㕡戲㐳搶㠴㘵㝡㝤㌸敢〱戱つ挲昷㈰㜸㙣㈰㌵昵晦㠹搷挴㥤㡡㘳㜴〹戲愹敡搵敢㈳愷㐰扣㕤晤㜹昸㐷㉤昱搸㔲散㠶〱散扤〰〱㔹㐸㡦愱㜷㜷晥攴㠱换㍦㜴挷㈳挷㠳攷㡤㤸㠵ㄲ㌴㝤ㄸ戵㍢戱㠵搴搸㙣㜹㡡㙥㡤攲㑥㙣ㅣ㐰慣〱搳挰摦㡤扦㠴愶敢敥挶㕦っ㌲㙡扣㈰〹搴ㄷ㌸㤲〳愳㙥㐵戱晡㜰㘴〲搹晡㝡ㄲ〷愴㙣㥤㜸㝥㔴㥤㠷愷慣㠹㐹ㄶ㍡〴愲攸㈲ㄱ㌸㜲ㄸ㑣㈱愸捦攱ㅤ㐵㌸㐲㥦㑡慤㄰㝥ㄵ愹㌱㍤㑢㥥愲攳愵㈸㠴㌲㌸昲敢㌳〹攰搷㠲㡣㙡ㅦ㑤㠴㘷扥㤳㌸㕢搳㝤愹敤㉢搳搶㘱ㅥ〶摡㙣㜸㠲晢㈶㕤㉦㉦㈷㤷㔶扢㍦扦㉢敦昵愷摤㠹㡣㌹扤挴づ㤸㝤攳㔶づ㝥〵〷敥㠵慡戴晣挴㠴㤵搲昶㜰㝥搲㐹㕡〳晤ぢ挱敦㠰昱㐱㜵攲㜲〸㉢㠴昹ㅤ愵戱㥣ㄵ㘶〹㐲㈸㜲㌱ㅡ慣㍥ㄱ㤵敤㤸㈵㜰㐶㠵戶㤷㈴㍡㤲昶㌲㔶戳㉤昹挲㐷㙤㐸ㄱ捥㥡㔴㤳㍤㌲㡥㤳㐲㝦慢扤捤㐹愷㌲改㥣㐵㘵〰昰搱扤㍥㘸敤㠷㘳㘶㑦摥㑤ㄳ戶户摡㈳㡥㤹㜳㈷㜸挶㑣㑥㉦慥㠸㠹昱㡢搸㥢攱㐳挴㙢㐴㡢攴摢敤攱昱晣㘱㝣ㅣ㥡捣收戶㤹ㄳ敥㠲搰ち慣㘳㄰㐴㌵㉡慣挲㘱ㄵつ㐷攷慢ㅦ攳搳㘸㙥㠹敦摦㑦㘰㥥挲㤳㍡㈶攷ㅣ㜹换㙡搰㐶ㄲ搱㘱㈸戲ㄲ摣㉣愰㠷搰㈷㜰㤷搱ㄵ挴扥㔶㜸戲敢㝡㈵㡡㕦摣〸㜷昴㘷㔸攷戳㈰㍢戶敤ㅤ㈸㌹㐹摦搷㜷戲〸ㅤ㉥搵㕢㐹昵捣㉢晡愴㜸晡㘹昳愷㄰搳㌸愳戰㌲㌱ㄳㄸ慢㥥㤶㌱㕢捡㜰㠶戶㤵搸慤㜰㙢戴搸㠳收㤸㤵〱㘸挸㥡㕥㥢ㅦ㈱〰挴㜷ㄴ㌷挸敢换㘷戳㈶愷ㅣ愷敢㜰ㄲ㕦㑣愲㜶敦愴㤷挷㔷ぢ㙤㠳挸扣っ㤲捣㈹㈴㤹㔳㤲搴㘲て搱㑢㉢㍣摢捡敦㌷㥤戴㌷㥥㑤㈷愳㡣搰㤳扡㈰收㉡散〷昰㔵㌱ㄴ㙣㐹㌵㤴昱㌷㜵愸扢ぢ挰㡡愲愳晡㌱愳挳捡挰㍦㌵㑦㈷ㅥ㉣㡦㙣㈸晡㜳㘸㉤㐲㡣㐷㔳㈴攱敤挲㘷攰户㙦㐴㡡ㄸ㈷戵㡡〵昰搳㌷〵っ㈳㡤㜴㠳捤敡攱愱戳㉣㌶㤸㌷㔳㕢㜱摣捣㍢㑤挱㜷摤㈸㔴㑢㔳攳挴改㜳敢㠳ㅢㄷ敥攱㐳改㤴攵㐴㤹㌰っ㜸搶㐸㙦㥤攱敢㄰㕢㜷㐳㈸ㄲ㘹㡥搶㝢搷㐰愱慤ぢ〲㑦㐶昹攷敡㠱㥡昶㝦㜴挵愵㜴ㄹ㘰㔸晣愸愱㍦㑦昲〵㄰昵㘱㄰㡥愷慡挰㙦戲挰捤㈰㤱㙥㤰㙡摤㔴扡扦〲㈷㔹愳㝣ㄱ愵㘳㉥ち㈷㤶㜸昴㈲㌲㤰收㌲㑦㥣攱㍢攱愲㠵捦慣挶㌰㘶戹㤵㡡昹昶㤵攰㤴敡〸㠷ㅢ愱㙡愳摡て㔰昳㕡㌴㤶ㅤ戶挴㐵愷攸㤶㌲㝥ぢ愴㤹㡢〵敤㡦づ昴㝣愴〶㍣挴㘲晡ㄶ㤴〹挵搴㕡搰挲挰戹戵挴㘲攲攲扣ㄵ慣㍥〲愲攸㠱攱昶㕦戶㔹㈹捡㤰ㅢ㔶挸昸㈲挸ㄹ愵㙦㡡㈷㌴㤲㙡ㄳ㉡搰㔰敡㉦㠱愸㕥㄰摡㥦攲㝣晣ㅤ昰㈷㥥㡦昴敥挸㝣扣㉤㘰ㄸ㔱晤㈰㠵愱㠰㉤㈸昹㜷挱敡愳㈰㡡敥㥦㍡〵扥捣〲扦挷〲昴〸㔱搱挶敤㈰戱愲〰搷搶㤳摦敦愳〸攴户〳戴搰愶挱ㄴ㕦㝥㜷㠲搵㜷㠱㐴㜸摣㥡挵扣〲㤵㤶ㅤ捡摢㔰搸戰昱㤹捤㠳攵攳晢户愶㍤攸戰挵〶〱㉢愷攷攵㘲ㄱ换㉡㜵ㄴ㤱搶戹戵㔹ㄵ搰敢㥣摡晣㜲㉣㜶㐱㥤㙣ㅦ愵㤵㠱戳ㄳㄵㄲ戴㔶愷㡦ぢ〹扥㈹晦㌴ㄵ㈰㌸昵愱㤹㝤て㘵㜲攷づ晣㍥挰㥥昱〷愸摦扣㌳㥤挹搰㑦扡㘵敦㔰㐸摦㡤ㄴ捣㘳㘲㐰㝤て㔸攲㐰ㅥ捣㘷㥦㉥㘵㙥ㄹ攲散ㄸ戱愰㥦搶ㅡ昸晤昰捤ㄷ搶㌴ㄶ挴戰㔷戶〵散敥㐹慦㈲挷㥣㕡ㄲ攴挰攵扢㍢〷㠴㤳㌴㥤搴〲搹ㅥ㌱㌶ㅦ挵挹㑥㌷㑦㠴㡤㐶ㄸ捡㌶㌵㥣㤹敥㐵ち㘵㑤晦挷挹㜸戵㜸㑣㙢愵戸㡢捥慥㈸㘳扣昸㈱㕡昰㉦㝥挸㜱㘷㡦㠵戳ち敥挱㘴慣㈵㔲愱ㄸ㤵慤㐰摢扤㘳㉥㕤收挴㐵〱㈷㡢㕥摢㐳㔶挶攴昷㔹挰㤸㠰摢㤳昴攰挳㉤㌶挰㙦慦ぢ㐷㐳㤰㐸㘳愰㈵㈵㝡㌲㘶㤹扣㤵㠳攰㝡㥡愷㔶㘱敥㙤〹晦扥㔱㝤昹㈸挳晤ㅢ㐳〵㈶㌸㔰搱慦㌵ぢㅡ㠷摤㉤㜷㐱㜲㈵㉤㈹㜸挶㝤㙢㈷㠶慣愵㤰㐶挸摥捡愳㤵攳攱㠲〲㙦愳戴㜳改㘴㠰㘹扣㌴搰㘹㘶扡捤ㅥ挸㈵㌳㤳㈹㑢愰㙤挱㝥ぢ挲㕤㄰晡㤲㕢㝤扥慥㘶㤱㑢㈰㤴〱㕣敤㉢㝣戰㥥晦昹㔶㝦〵㘲㤵捤ㄳ㙤挴昴ㅦ㈲挶㜵㐷㙦攳㐹晢㝢㘳愸戴戸昴戵㐲㙥㤶挱戴搵㈴搱愶搱㘹㔷㜴ㄹ换㡡㉢㉢㌶㤸ㅦ捣昳㝣㕣㤶戴㍤敤㈷㉤〸㍤㘱㥣扥攱㌳っ〰晣昹慤㤰攳㔷て㍤昰户㥦㜲㌷戱㉤㔸扦ㅢ㍦戱昹昵㙦㌷摤昲㥤㡤扥扢㈱愴攸搰ㄵ〰㈷㑥㌴㙥㐲㈱ㅥ㘴挳愵搳慣愲扢㔷㠰摡晤㘰ㄴ晤扥㍥㔰ぢ㘹㙥㘴晡慢㈰㈷〶㙡昴て愳敤㤰㝥㌰㘰ㄸ㔱㜴〸ㄷ㌰ㄳ㔸捣〹㐱攳て㠱搵て㠳愸敢㐰敡ㄴ㜸㠴〵扥〶ㄲㄹ〳愹㌶㌴㌳扡㍦搹㜸㈴㑢㔰ㅤ捤昲㜰㠱㘵㙡攰攳㍡摣扢㠰扡㐶㜳搴㘴戳㝦〴昲慤㘳挷㠸㜶㐳㡡晥挵挲晢㘵㡦昵㐱摤ㅦ㈳㔹晦〹ぢ攴㐰慡㐱昱〴搲㝣㔰晣愷攰㤶〶㜷愵㑥㡣㠸改㉦ㄴ㐱晦ㄹㄸ攵㠰昸㠲づ㑥㘸㝦㠱㠴ㄳぢ摡㘳㕤晣昴搷〳㐶〴㑤㉦㘳㘱ㅣ㘰ぢ㠲㝥ㄴ慣晥〶㠸愲〷戲㑥㠱挷㔸攰㜱ㄶ愰㔳㔲㄰昱ㄳ㘰攲〵㐴㕣扣摦搵㠹㔴昸っ㡦攳㈱〱㐰收㉦挹挴ㄴ扤㤳㠵㤶ㄷ㌱挵ㄷ攱㤳㘰昵㔳㈰㡡扥っ改昱搳〱㈳㙡攲㜹戴晡㤸㔵㜳〴收戹ㄹ攸〶㠷攱㘱㙦㍡〳〷〴㔹ㅥ扢㝣㡥㍡昶戳㜱ㄸ捣㍢戰㝢㡤搵ㅦ㡡㡡㜵㔷愰愹收愵㔵搷㠰愴ㅡ㜳㍥㡢㕦㘴〳挶㌷㘳㝤㡥愰㜴㈷㠰㜵ㄸ㡣㘷㐰㤶敥㑣㈷㥤扣㥢户㍤摣昷捣戹〹㕥慢戲㈱捤摥挸攵㘸戱敥㍢㌹戰挶ㅣ慦换ㅥ攲㌵㠳搸挱㕣晥㜰㑥㝡ㄳ㜱㜹扢㑣攴搵搴挴搷搰ㅣ㑡昸㈰愴ㄸ扦〹㉣㉢敢㘷㐱㕡ㅢ攲㥦㤷㉣㘸散ぢ〵㠶㈷㔹㠶㌸㑦戳っ㤱㕢㐰收㝡戴㘴摢㙡㑣㈵㔵㑡㔹㡤㑤㑤㌵㠸戹收㐸㕡扣〴㘲ㄸ㥡㉦㕢㡦㈱㔷挳散晡㤵㉡㈵捡捡㘲ㅣ㥥〳愳扦〹ㄲ㡢摦ち捡づㄹ捦㠳戴昵㙤ㅥ㉤昳慣ㄹ㝦㠳戴ㄶ愴㠹搵ㅦ挲挵㉦攳ㄸ㔲ㄶ㈱愵昲㝡戲昱㉤㈴㉦㐶㌲㙥㌶ㄴ敥㍡㜰ち挵㡦㈰㕤㐴搹〲㐶慥敥敡敦㤰扢っ㐴挹愱㤵戱扦㘷っ㍦昶㑤昱搰捡㠹慢㔶㘱㤴㥣㉥攰㐳挶ぢ㈰㌳捥〱搵㠱㘲㥣〷㤵㝡攴㜹㔶㕥晥㈲ㄸ攸㤱㘷㔷㠶㌸捦慦っ㜱ㅥ㔶ㄹ攲㍣戰㌲㈸ㅥ㐴愹㑢㜵㌱㥡愳㥣挳㠸攸敦㤲扣っㄲ㡢摦〹㉡昲晡㈷㌰搵昲㝡〵㘹㤵昲晡㘷愴搴㤱搷昷㤰㕣㑦㕥㜷㈱㕤扡扣〴㡣㕣つ搶慦㤲愳扣㈲㜷㠳㔴慢扤捣户㔸㜶扡㠲㈹づ挵换㡥扣㌲㠱ㄶ搹㔷㑣㥡ㄹ摣㔵摤つ慣攵㌱㘹㈱散搰㡤㍥攲㍤攱摡㤱㈱㕣㝤㉤愷㜰戵っ㉡愷㝥㌰㌶戹㌴㌵扦晤㍥ㄶ㌹〷㡡㥦摢㕢敡㉦戰㤸㝥ㅤ晤〴㍡㔳昷攰㈹㠶收つ㌰㠵愰敥〵㔷㤳ㅡ㈱扥㥢㍢㤸㘴晤㈵㌰㘷挱摦㤳搰ㄵ摢㤱〱慥㥥㠳攷晢晢㝣㍤昱㘳㑤ㅦ搴晤㠵搴㌷〳㐶搶攴㔷ㄱ㤱㌵㜹㈶〴㔳㕣㤳晦㡡搴㤹搷攴改㈸㕡扢㈶ㅦ㐴ㅤ㤹攰㙦㠱挱㥡㈴㑣㘱㠸㍦散㍦㐳㜱攲ㄲ㠶昸搷晣㘷愸㥤㘸㠲㉢摢〸ㄲ㑥搹㈳㑥っ挲〱㙡ㅡ㍦㑤㙢愷㘹攰攲㠴㈵㤲扥㡣㐹换㐹㝥〲愲〴㔴㌰昶ㅦ㡣攱㈷搲㈱愸㄰改戴㤶㐹㐷㍦㠳㔴㙥㔰慡戹慥㈰〸㉤㐴㄰敦㠲㠱㈰〸㈳ㄸ攲摦昰㥦愱㌸㜱〳㐳㥣搸㠱㐱ㄱつ㠸㜱搲㘸㤲挶㐹昴昷ㅥ㔲昵㑦㐱㘲昱㈷㐱愵搱捡昱㘸㥡攷昸㔳㠵捣〴ㄸ戹㕦慥㌹〶戱㉤㜱攲〶愹ㄹ㐶㔲㙢㐳㠴㕢摦攵㌳㝢㜲捡㌶㠹づㅣ㜲㉡慥㈵㙦挱㌵攳㘹㥡捤〶昸㥤㝤㙦㙤㘳昸戲昹戵挵㔵ㅦ㐵㔳晣㐵晥攷㝦㡦ㅦ㝦ㅦ敤㔰㔸㈵㜴挱ㄶ捦挵㑦昳㈴搷晥ㅣ摢挷慦㙡㡡扤扤ㄱ㘹っ㥢㠴㠶愲挱㌳扥愹㥤扢愷搴戸㔶㥤㜷愴㌷昲敡㡤搵㕦摤㠱㝦ㄱ晥㙢攳扤ㄳㅢ㘲㉦摤昳攴㐶挵㡤㉦㡥㕦昵㝤戶昷㌰慣扡㕦搰晦㍢挸愸扥搰ㄷ攷㝥㈹捡㡡㠹戲ㄴ昷㌷㉡㑣扤㠳ㅡ㤴㤲っ慣㠵〳攳捥挵㐱捤㜹㘰㈸㡢戰㜴㔳㍢户㍢愹㌹搳〰㥢㕦扡〷㐳扢㙤愳敦㉡㌸扡昱攲㙢㝥晢改㜷㉥扡㝤愳㝡ㄵ㌵敢つ昴敤㤹〶晡攳㈰愳晡攲㥥㝡ㅤ㉤㔱㙤㝡㌱㈸搷ㅡ㝦昱㌷㐰ㄸ㤴搸㌱㌰扡㤸㠲㐸㥣㤶㑢愴戳搴㤷づ㉤捤戳昸愹户捡愵㜳㍡㌲ㄵㄷ㜵愹愷〷㄰昳㤱挹て㘶敡改昷㠳㡣敡㑢つ㜱ㅡ〴㜹改搹晥㑢戹慡攵愵慦㤷扦昴ㅣ㘴戶㜳扤㥥摣㕣攳攲㥥㜵慥慤㤱昰てㅢ㌱搱㌸摢㜰㌲挵㡢㑡〳㕢㡦晡晥挰晥㘵愶㠱㝤㉦挸愸戹慣㐰㝢㜰愲换ち㘵㝦㝢㐱慦㕥挴㈶昶㙢戶晤㘴㉥㘱昱㥥㘶〴㝢户攰摢愲㠳扦㝥ㄸ挴㈷㜴㝣㔱挴㥦㤱〵㔰ㄲ㥦搶㜹慡㉣㝣扤搲ㄲ㘳㘵挳摥敤攰㜳㔶㤳㍤攰挲㍦㤸㡡攲昶戶㠷晢㤸戹㠵㠰㕥㜰ㅡ㙡愴愹挳捣攴㕦㑣㠴敢ㅥ㐴㔶㈰扢晡㝣㕤㠶摢㑡昲㈸昸㠸挲晣㈴㌹㍦散㘲㕣〰㝤ㄵ㍥戲愷捡㍥戲㌷慡㔷愰㘲㝦㐳晥㘴攸戸昴㌹ㄴづ改ㄵ㈸㉦户㔹㘴愱㠱挴昴㐵㑣敡㐴〹㈱愱〸㉤㘴昵挰㜸㉣摣捡㤱㔷晤㔹㐲㜳㌳㐷㕢〸㡡〶㡡㌳挸㔸〹㔲晥㘹慢戲㙢晦㔸户㙢㥤愸㔳搵戵㉥㈶㤵扡愶㘸攳搸扤㐲㠸搳㔰挸㍡散㘶挹ㅥ㤲搵㈰㌱㐵㘳㈰㍤㔹〳愶㜴挱㑥㡥㠶㙥㔸ㅤ㉢昴攰慤搵换㑡挲㔹挷晡㌴ぢ㑡㤴㑣攱㕣挲愴戲ㅥ搰㡥㐸て晥戳戹㌷昴收㔷㝡ㄵつ㠰扣㘸㍤㤸愲攳愲㜲扣捦ㄶ摥ㄶ㉡㔷挵攵㙣㥡㙢戵愴㡡つ㑣㉡㝢ㅢつ㐸昹㜸㈳㔴摦㥣攷ㄶ捡捥ㄷ㌲挲愴㠴ㄴ㈷〶摢搰㥢〲㠶ㄱ㐵㌵挹㉣敡㘵㉡㌵挴㘴扤㌹㘰ㄸ㔱搴㠶㤸挳㈷㌰㜲敥㔰扦㠴搴㘸搸㔰搴㤰㘴㍣ㅥ㘴搰㘷ㄴ挵㤷㈱㙡㑤㌲ㅥぢ㌲戸ㄵ敢慤㐸㔵搴㡡扣㜰ㅢ㘳㔴〸晥㠷昴昶㠰㘱㐴㔱㤶㔲㘶㠰愹ㄴ㈳㤳昵㡥㠰㘱㐴挹㤸㤸晡〶㐸㈱挴㌹㌶㤹㐱㠳㘰㕡ㅢ㤴㡣ち戹㝡㈷㉢〵㈱捥搱㐹愹㕤㔲慡㥤ㅤ摢㠷捣昰㤴㑡㕥㤷扡敥扡昷摡ㅢㄳ换ㅢ㍦戶愹攵攸慢捦扦㜶攴㠵㙢㌶扣昹戳摢㙦㝦攱㡤㈳挷㝥昶昸搸㠶扦扥晢敥㘷㜶摣㜹散戵挵昶㕤攱㍦㝦㙦昰慥ㅢ㝡づ摥㜰扤扤㜷攵戶ㅢ慥㍡㜰㐵捦㥥㐵ㅤつつ㑤㑤ㄷ㉥㜹敥捣㡢攲㥦扣晥敢敡愹㤷捦挸㈹ㄹ㉢㕥愰㜷攳㑤昸㉦㝥慤㌸挷㉣摤搸〳〶㥤㤵搱戲㔴挵㤰㌸㙡㈹㌵攴㤷攲挸㐴戶て〵戲摤㡣㉡㔱㜸㍥ち㐳㔴ㅣ㤵㤴㜸戰慡〴摦㉥㑤敤昵㥢攲㝢愵攰〳ㄵ〵㤵攲慢㈴攳晥㡡っ㝣㈷㐲挶㉣㜷戳㑡搶㤰〸㑤㘷昹㠵㠶㜶㌱㤶摤㤲㥢昴晦㤸挷挸昲㡥㑣㙥㔱攰㕤敦㈸㤶㔹㕣㑣㈹㤶㙤㉢㈶㐹㥤㘵晥つ〷晥㘵ㄲ㡢㜴㤴ㅡ㍤慤㍡㐷捡㘳愸ㅣ㙤攸晣㤹攱㙢愱㠳散㙥㔴捤戹㘰搴扦㍦晣㌱㐸㠳㌵㤵㉥㜲ㄲ㡤㌰㍡㠷挶㔰㙡扥㑢晡㉡搴㔵㐲搰㠶晥㌸㘳散〸㝥㜱㐶㐴换㔷㠳挱㘹㠰㡦㔵㌳㡢愰昸㜵㐰扥㈳戸㤴㐸っ捤戴㘶晤ㅢㄸ攲㍤挲㥦㡢㐹㝡㐹攲㠱ㅡㄷ㌳戹愳愲㘸捣㑦㈲㙤昷搹愲㍥㥢㠳㉣㑥㠰㤳㔵㘶ㄳ㠶挴ㅦ戶愳㜳㘶ㅥっ㕦攰敢㜲㙥愵〲㐵㕥〳ㄱ㜱搰搰㘴㠹㤵㜸㍢攳摣㍦㡣捡て〹敦ㅤ㙦晥㍦㌷㥦昱㘱</t>
  </si>
  <si>
    <t>㜸〱捤㕡㕢㙣ㅣ搵ㄹ摥㔹敦㡣㜷㜶搷昶收挲㈵〱㠲愱㠴〰㑥㔶㌶㈱㈵㐰愳挴㕥挷㠹㠳ㅤ㍢戶㤳㐰㈹㕡挶扢㘷攲挱㜳㌱㌳戳㠹㑤㤱㕡愹て㝤改ㄳて慤愰摣㠴攰〱㕡㠹㤷慡慡㕡㕥㕡㔵㙡搵愶㑦㐵扤㐹㐸〸㈱昱㔰㔴㔱昱挲〳ㄲ晤扥㌳戳㔷慦㌷挶愴㤲㡦戵晦㥣晢攵扦㥦晦㌸愱㈴ㄲ㠹㉦㤱昸㘵㑡㌱㜳敢晣㕡㄰ち愷㔰昴㙣㕢㤴㐳换㜳㠳挲愸敦ㅢ㙢㔳㔶㄰昶愰㠳㔶戲搰ㅥ愸愵挰㝡㔶愴㑢㤷㠵ㅦ愰㤳㥡㐸愴搳㝡ㄲ敤㥣㠴扦㝣慤愰㜳㔴㉥〵戰㔰ㅣ㥢㔹㝣ㅡ戳捥㠷㥥㉦づづ㕥㠸挶ㅥㅢㄹ㈹㡣ㄴㅥㄸㄹㅥ㉥っㅦㅣ㉣㔶敤戰敡㡢㘳慥愸㠶扥㘱ㅦㅣ㥣慤㉥摡㔶昹㔱戱戶攰㉤ぢ昷㤸㔸ㅣ㍥扣㘸㍣㜰㜴攴㠱㈳㐷捣㠷ㅥ㍡㥡挳搲㠹戳挵戱㔹㕦㤸挱昵㥡㔳攳㥣㌳挵戱挲㔹ㄱ㕥慦㌹㝢㌱㈷愶ㅣ昷ㅣ挳㜲慦搳愴㉡㜱㝢㜸㕣㤴㉤ㄲ㐱〸摦㜲㉦ㄵ戰敤ㄶ㐴愳昴㘰㘱〲ㄸ㉦ㅢ㐱㔸ㄴ戶㍤㈷㑣㙥㈶攷㄰㘷挲ㄷ㙥㔹〴晤捥挹搵戲戰攳收㈰敤㕣㌰晣戳㠶㈳㔲捣っ㌸ㄱ摤㈶㉢挲つ慤㜰慤捦㌹ㅦ㠸㌹挳扤㈴搸㐵㜵㑥㔵慤㑡㉡愵愴㔲㠹㥥〳㥤㌶㈳㘹㔳㤸昰换挵㈵挳て㘵㠹㔴ㅢ改搴户㠹㐳攴挶㕢戶㐵㉥ㅡ㙣ㅢ㐵㌲捤㕢捥愳挲㜷㠵捤㐵㐸扣愱戶㑥ㄲ㈷ㄱ敡敢挸愹㥤㠶戸㔰戲㌱摦换愳愰㐲㑦ㄳ攸〰㕡〶㘰㘰挱㌷㜰㜸㥣㜶昰戲㘱㔷㠵㥥㘵㜳づ㐰㐹㝤〶ㄹ㙡ㅥ捥愶㘴挹㐸㤶ㄶ㤳愵㜲戲㔴㐹㤶㐴戲㘴㈶㑢㤷㤲愵愵㘴挹㑡㤶㥥㑥㤶㤶搱愷㤶搲扤扤挹㌸晤昵㤵㌷㝦晡晥㕢㠷㐷㝦昳挹ㅢ㘶㝡挷扤㌳戹㝥㜴㍡ㄷ㙦㙤摣㌷慥㠰扥つ搶戹扦〰㠹搹㡣捣㐰㘴捣㈳收㠳收挸㐸攵挸戰㜱搸㔰㜹戸捤㔲㙡㌷晡收捣㡢㤶㕢昱慥㐸搲攵捣〹换づ㠵㉦ぢ〳㈶㍥ㄱ晢挹㜲㥦㜹㜲ㄵ㜲㕢㡥愸扣摢㉣ち㍦〴扦㠷㙢つ搲摦㍡㘶〴愲㔱ㅣ㡡攷ㅥ昳慡㙥㈵戸愵㜳攳㝣㘸㠴㘲㙦㝢㕢㘳㤲㜵挳收㈱ぢ㈲㤰㕢摡搷㍥散〲㈹㌸扡㙡㐵捤户戵㌵㐳㉡扣挵㡤㕢㈷㝣昱㑣扤㜵摤㡥㐶愱㌲㉦换戹搷㥤㌲㙡㡡昶㌵㔸㕣昲〲攱捡敤つ㌹戳㔶㜹㔹昸昳㠲ち㔷㔴攴㔱㙦㘰㔳㉣㥡㐳㌳㉥づち㘱慢摣搹㕣㑢㐴ぢ户㈲㉡搸敦ち戰扣戶㘰㉣摡攲挶㤶㉥搱㥡㘸搸搳㔲㍤攱㤵慢㐱搱㜳㐳摦戳㕢㕢㐶㉢㤷つ愸㠳捡戴㔷ㄱ㈹㤹ㄲㄱ㔴ㄲ㍤㍤㡡㤲戸愷㤳㕣㜱敥㠰㤲搷挴㈴㤴敦敥㥤㥢㤸㠸㥤㍢㑡㙣㝤㘶㘴㥡㤸㡣晤敦敤扡㤳㘶㈶㘴敦攱慥扤㍢㌰㈹〷摤摣㉡㜸㠵㌹搰〷㜴戰〵愵㌲㜹搷挶㔳㌶昸昲ㅡ㍢㙤愲ち敤㉢㝢㜷㐱㥡㥣戶捥㝢晦摦捥挹攴慥昸昴㈷㉦㐳改㥦㌶摣㡡㉤晣慥摥㠱挲ㅤ改〳〴㜹㠲ㅤ〴㍢〹㜶〱愸㥦㐰㑤㙥㠸㔱㉡㜶㘵㔵㔹㔳慦㔸㤵㜰㐹㕢ㄲ搶愵愵㄰㜵昰㉡搲㘹愲㝢〲扦ㄳ昸摤㡤㥥㝦㠳㙢愱攸㌷愰愴摦㐸㜰ㄳ㐰㈶㤳搰㙥挶ㄷ敡㕡摦挳捦㕥㠲㠸㈱㌳㡡㑡㐵晥搵捤つ㕤ㄸ㕤㕡㌷戸ㅦ㠱敡挰㠸〶㍤㍤㥤㤰㜰摡〸㤶㐲捡㕦搷㐶㥥㔲扦㠵攰㔶㠰摣㙤〰㘷㑦ぢㅢ搲㝢扤㍣ㄷ㤵挶攷㥡ㄶ㤲㐴戹搱㤹㕦㜳换㑢扥攷挲㡦ㅢ㌷㐲㘳戴っ㌷㈰㔰っ捤㤹昲㡡搵㔰㜳㑥㕢昸攴㥣㌹戱㈲㡣戰〸敤ㅣ昶㌹㔳㜰㈱愴晡㥣慣慣慡㑥㘴晤挷㐵㔰搶改㈶㑣㐲ㅢ慤㙡挸㐱扤收ㅣ敡ㄷ戱ㅡ㜲敡㕥㘷搶㠰㥢ㄱ敡攸㌴㈴㐷㐵㌹㡥散㤳㜵戵搱㤹戸㠴ㄹ昲㌲摢㌴㑢㔶㔶㐴㌳㈵㠸捡〴ㄴ㔲愲㈷ㄵ挳㜶挱㌹ㅦ㕡㜶㔰㠸搱㕢ㄸ昷攰㐶ち改挹ㄲ敤㥡〶扥搲扡ㄲ慢㕤扥改㘷捣㤴ㄷ愳㘹戱㤵㔳扥㔷㕤愱慦㜱扤收攱㕣〹㝤ㅦ挰慢晦㝤晢㤱晤㉦扦昳㘵晣晤ㅥ㈴㐷㈶㥤慥㠸㑥㌶㘷ㄱㅦ㤹昴㍢昰挹㜴㙢㔳改愸㜴㔴戰ㅢ戸㐴㤴攴㥣㠳搳㉥昸㐲晡㜸㘹㔹㔸㕢ㄱ㝤捥㐵捦㕦㕥昴扣㘵ㄲ扦㕦㤶㠲㈵㈱㐲㍡㑥搹搸㑦㘴㕥㔱㤴㥥㥥ㄶ户愸挹挳愲换愵敤〷攸ㅢ戵敤挱摡㡣㠱㜶㌷慡㝡攸挲ㅤ㐰收㜰ㄱ㝥挲攰㤴㔸戴㘱㤲昰㜵㍤换ㅦ㍣㌴㌸敦搹㔵摥㑢〶捦ㄴ捦ㅥ㉡摢㐶㄰㤴愵㜵㉣慣摡挱慡昲て㈰㠶づ搹晢扦昸搱攴戳ㅦ㠵搳㙦敦晦搹昸搲昰昸扦㤴扦挷つ敤㉥㤶㑡㠵搵捥㍢搲㕤慣ㅢ㥦㈶戳㐶㔵愴㤹攷㕤㉢っ戲收㘸㌵昴㈶慣㜰㍣〸㜳㈶〰戲㜲挸㕥愹愷㥢〶つ㤹ㄷ㉣㜱㘵〱搸扢㝤㝤ㄳ㍣改㘲㌵〸㍤㈹ㄶ晢搶户㡦㝢㘷扤㜰摣ち㔶㙣㘳敤慥づ捤㔱换挵㈵攱挲㜱昰攱㍦㕣慢㤳户戲㈲㉡ㅤ昶㌸敦㔵晤戲㤸ㅣ摦づ慥㠷ㄲ挹㜷〲㉣〴改㔶昶㙦㙣㙡㥢昰㑥愶㑤㠲敤㤴慤㔹㉥敤㍥㡣捦㑥㕢戶㑤收㍡㜹㝥㉥愱て愱〶㤷㔹〵搶㐵㍦㠸㉣㡣㡣㑡搳搶㥤㕤㥡ㅣㅢ㙡攳㡣〹ㄲ㐷㜵㝤戱攷㍣改〶㔶㐵㘴攲搲戴攵昶挷搹㤹㙡搸搲㘲慣敥㡡㕢㈰㈷㌳㉥搸愰㙣昸㤵敤㐰㈱ㅣっ㈹㈲㡦愲攱㙦㙢㐸㡦愶㐹㈴㍥慤㐵㈱㍥晤ㅥ㔴搹㈱㔴ㄳ搷昴㈰㍡慡慤扡㘸㈲搳攴ㄷ㔲㤴晢㠸敥㝡㜵㥡愵㘹㘱戸㤲ち昳㘱㘵㕣㕣敥㤷㍤〴㤸ㅤ㤷㔹㕢散㙡㉤㑡敢愵㥢愳㡢〱昵㡣攸慦攷愴搰敢收㥣戰つ晡昸戹㝡㙥戶ㅣ攲ㄶ㔴㥦㡦晥晢昶愱㄰㌰㤲㡡愹愴㐸㍡㘹㕤㤸户昵㄰㤴愷㉤㔲ㄵ㜶搹㤴改㍦挷㤵ㄷ㕦㘰㝡敢㜸愲㤶挹㌰㈵㔴㍡㈱㥢㜷攲㈹㐹扢㙡㜷换㐸摢㐹㐵㤶慢搵搱㝦敥㌳愵づ挴㈵㤹㜱㡣〱㡡㡥㡤㈰㔳㘸㤵つ摢㕥敢㌷㈷摤戲㕤慤㠸㈹㘳㔱搸㌵晤敤昹捥㌶愱㤷㡣扦㐵戴敡㠲㤷昸㘶㌳㠹㈰㕣敤捡戰㘵㤵㤷搰ぢ㐰慢㜴㈸㌰㐷㐶ㅦ㐶㠹愴愱扦晥㤵㙦㑣昴㑤㜶㌶敥晢㌲㍣〴搵戶慥㡡㍡㡤㙥㘴晤搲㈵㈵慥愹摢㤴㌷攵攱㐲㕣㘹慡㍡㙤㐵㔵摢㐶慥㈴㤹㌴㑤摢慡戱㌹昰摤ㅦ晣昰挵攳㡦㥥昸昳㠵㥦㡣㑣晤㝣晡〴㜰㠷昴挱㜱㥡ㅡ㔲㠰㤷㥢㜶〷戴挹㈹㤱㝥㠰㔴㠲㌴㐷〳搴㘰㤱ㄳ戱㘰㠵戶挸㥡戲㕤收搳ㄴ〹㘲戳搷㕣㔸㠲㌳㌷摥㘷㥥昲慤㡡㙤戹㠲づ〹〲㌴っ挹㑤㠹㑢〸㈵捣㝡㠱㐵捦慡捦㐴戴换つ㔶攸戳㤷搷㜶戶㤴㈴戱㔴㜳捣㜲㈱㐰搱㥡捣て㤸昳㑢摥ㄵ〴㡤慢㡥㝢捡㔸〹戶〵愱ㄸ㠶㡥㔲㈴㔵㐹㈵㤹㔴搲挹昴㔶㙤㤵㜴戱改㄰㈴敥挷戴㐹㠲㤸㕣扣㠶㜶㤱㔹㔲㉡づ收㔰㘶戹慦㤶攰㙢挷㉢㘵㍤敡㑥㍤慣㜳戱摣㘱㠰㌳愷捥㑦㌶㐲㠰㕦㉢㜴慥昲攲摣挵ㅣ㐸搶愸挷ㅢ挸㤲晤ㄱ扢戰㡥摣愳㑢慡戳搴捥㠲ㄹ㔳昶㈱㌷挲㠲戲㍢戳ㄳ戸ㄲ收㈰晣㔰扦戸㑡㐳敦昶㐷〵扡㜷㡥㘱〷㜱㕢搱㜳ㅣ㠳散㐵搶㥣㠷敥ㄶ㘹改㙢㐳㥢攸㈶㠰攴挱戸捡㔸㐵㤵戱㉡慢㘰㤲ㄹ㐳㤴㜹捥攵㕤㌲㝣㉢㕣㜲慣㜲㥡〵挶昹戶〵㕦㠲㠵攴昵ㄵ〸㘵㤲捣〹挷戵晤摡ㅥ摤㌴㐱敥〲敥ㄲ㐴ㅤ挹て敥㑤㑡㍢慥㙣㌱㐰〳昶搵改改敡㐷〰㔴昹㐸挳ぢ㌴㔳㤳ㄳ㠶ㅡ愹㠸ㄴ挶㔲搸慣㝦㌳捥戰㤰㘲っ愳敢攵㤹ㄷ扣捣㤴㘷㔴㈶㄰ち昶晣摥昸愹㈷つ搲㔲慤昸㜹〶㑣㡡〸㌲㈲㜸㜹ㄹ扥戰㥦㘶挵㍣㐲ㄱ㈹㠶㕡戴㠸㠶挴㑤㐲㔵戳改㑥㙢㑤搶收扡㉢扥㔸㌶㍦㔹㑤慥㥢晦㤳㜳㐷㡦㘳㔳㌸ㄶ摦㑣昴〷〹㡥〲㈸っ挵昰㍣㙤ㅤㅥ㘲㠷㠷〱㔴摥挸摢愵㘴挳攰〲㈷㔷ㅤ〶㍤搲づ㡦〳㤷㐳㐳㈸〴挱ㄳ愰㐴换愶ㄹ㝣搰ㅦ〱昸换搵慢挷昰㐹㈸㜷〰搴搶攷昵㌲㤳㈱昲昴㙦ㄱ戰㠷捡㕢挸收㙥㐰ㅣ㤸㙦扡㤶㔲㐶㠳ㅤ收戹慡㘱攳搵㘶〶晥㔰挸慡敤㈰〴愹挸㉢㙤㝦㠴㘸㝤捣挱攵㑥ㅥ攱㠹㈷ㄹㅢ㘹挷㐱㙢摦昸㙣〱㝢㙥捤㙢捤愸扦㐳㡣㘰㜳慢㔰ち㝡㉦㌳搰㔵㉡㈱〰㠴ㄲ〹㥦搱挹㘲戰摦ち㙦㡢㔲㙣㑥㈰㔳㑢ち敦㌵敢㙡㔵晡㘰㕤㡣㐷㥢挳挷昱扢ㅡ慣㑥愵㌶㘴昳㙤戶㤳㡣戴摡㤰㔱㉥㑦ㅦ㙦摤ㅥㄴ㥡ㄷ㔹㕢㡣㌳㤲㡦愹㈲慥愹㤵愸捡㜰㤵㠵㝥㥡て搷㙣搸〴㘶ㄹㅣ㡡㜲ㄴ㠲愸ㄹ㥢昶㝣㌸戹愹昶㈸㜰㝤㉣搹㍦扢扢㉤敡㉥㠷戱㠵敡㑦㝤ㄷ㈴摡㜰㍣㑦搰愰ち挷㌰㘹㈷〱㜶㑦㕢㘵摦ぢ㍣㌳ㅣ㥣㠷㙦㌳挸㜷ㄸㄳ㕥敥愸晡㙢捣搸㜱㑤ㅥ㉣挵㈷㍦㔵ㄲ㍡戳散㝡㔷㕣戹ㅢ㌵攰㜳㤴挴㔷㙦㉦㤷愱敦㉢搳㌷㠰挵㍣㔵㈵〷敢愷〰晡㝡昲搴㌵㑣㜹敡ㅢ愶㍣㤵ぢ㔳㥥ち㠶㘹㠰㉡㠱戳㤰㤵慥㙢捡㔳㤱㤰㥡摡㘹㠰晥攲㔸愹挹ㅢ搱㈶㔱㤷㐳㥤搴户㜳㜸挶搱捥愰㘶〷㙡㕡㕦㝣昳搴㐴㥣愵昱㉥慡㑦愳愸㤰攱㈵㈲捥挶ㅤ搸㈹㝦〲㠰㐹ㄹ㈵挰㑦㍦〱挰挴㐲扥〸㈰ㄱ㌴㡢㑣㕦㡦㑡㍣㍤戲㜱㡣愷㘹挳㐳㤰㠶㤶㐷慦㤳㜸挴㕡愳ㄵ敢㠱摤㔰攵㌱㔲挹㠷户㌶ㄷ㜵つ㥤㉤昹㝢〷㙣昱㌵收攱㌹ㅢ慣挸ㄹ㙦挷㑦㥦〳㔰㠸㌸㐶㘴昵晤〴㜷ㄳㅣ〰㔰摥挶㤲ㅤ㘳㤷㙦挵つ敤戱换㍣㤱㉥ㄱ昹ㄸ㈷㜹㥣攰摢〰ㄹ㤵㠸扤㙦㘳㉣㐴㥥㔵攳㠹㤴㠱ㄳ搵愴搰㘶捤攸㠵㤲戸㤰〱㉡㕢㜲㝣づ㑥㤶㡦㐷捡㈹摣ㅢ攰㕡攱扤㍤收て摣㈷㘸散㙡㘶㕣㤷㈵づ搶捣ㄹㅦ㜶扤搷㥣っ㜰㍢愹愴昱〴㄰攲搱搸摤づ挶〷㍡㈸㐵㥥〱搷㌰扥㤸散㈸晥㤴敢㜶戳摦㜴〵㙢攰愳㜶つ㑦搲㌷摢㥡改搱㥥挰㘲〳戵晦搱㠸晥挵㈰㐸㉡㙦㠰敥㔴㑦㤹㝦摦扦攷㑢㙥ㄷ晥㕦㐲㝦ㄲㅦ挹㌵㡡㍣〳慥㡣㝡㠹㔵㝣ㄷ㤰㈰愱㤲捤摡て㐵㐵㍣挱ㄱ㙤㙦㙣搹㉣㑦㥡昸㉣㍢㥡昸昸捤㔱㠵㥣㐴㜹㔴㕥挵挲ㄴ〲敡㡦㜴㔲㔳挸㕤戲攱㤵戸㠱㉡㈱つ扦㤵ㅣ㈷ㅢ㕥㡥ㅢ愸ㄳ昴ち㠰捡慤㙥ㅡ㠷ㄴ㤹㉤㕡㌶㠱愱ち㤱㈰㜵つ昴扡捣戰㌰挰㝤㕣挴㉦戹慡㤴㥦慡㍣昵搴攷〳愹挱扤愹挷㑥攴㕥昸攰㑦ㅦ㍥晦摥㜷㡥㝤晣挵㑢㉦扤昷搱昳㔷扦㜸㜷昱搸ㅦ㕥㝦晤昷㘷㕥扤晡攱㑥昳戵攴㉦㍦㥦㝡敤戹㤱攵攷㥥㌱捦摦㜷敡戹挷㥦㍥㌷㌲扢㘳愸愷愷户昷挰慥㍦摥㝣㑦晥晢捦晣㑡昹敤㍦㙦㜲ㄵ戹㌶ㄶ搰㉦〱㜰㐹㐶㉤昳摣㠳㤴捣㈵㘴㘰〳搸㈸换㤶㉣㉢慣㤶㐸晢㜱㡣戴㌱㔴愴ㄵ㐵㘵㝢㤷㥢㝦㠳敤昸㍦ㅣ扡挳㘸㈳ㄹ㌰攳㥣㜴慢搱搳㥢收昰㉥敥敥㠸ㅤ㠷愱㝡㥦㥤昵㥡㝡摦晥㝡㤵ㅣ戳㈷昲愹昹㤰挹㉥㐳㡤㐹㙦㘸㙦㤱晤㜱㈲ㅥ㉡㜱攷挶慡愶戶㐱慡挰戴戲改㡥改攸㌵㜹㤹愳昰㔳昴㝡㑥ㄶ㔵ㄶ㌷㌱搹搷攰㈹㥢换㑡㠰㡣敥戰ㄴ晦昲㉣㐸㘲扡挸挰㝥昱㜳㘸㘳ㄴ搴㈳㕤㌲㈶ㄶ㄰㈳㌴昵㝤㑥ㄴ㍦㤱㐶ぢ慦换戲扥㠱昱㤸㡣㍢㔹㍤搴搲㌵ㄳ㔵ㄱづ㐴搹㍡㍤戳㜱ㄳㄹ攰慢ㄲ戳ㄷ㐷攲て慥挲扥㡤て挳〵㈲㕡㙥慥㔷㑣㐸て搳㑡㉦㐹搱ㅢ㔹慥愵っ戰㑣扤愴戵〷挵戲晦〳〰扣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</si>
</sst>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8" formatCode="#,##0.00\ &quot;€&quot;;[Red]\-#,##0.00\ &quot;€&quot;"/>
    <numFmt numFmtId="44" formatCode="_-* #,##0.00\ &quot;€&quot;_-;\-* #,##0.00\ &quot;€&quot;_-;_-* &quot;-&quot;??\ &quot;€&quot;_-;_-@_-"/>
    <numFmt numFmtId="164" formatCode="0.0%"/>
    <numFmt numFmtId="165" formatCode="0.0"/>
    <numFmt numFmtId="166" formatCode="#,##0.0\ &quot;€&quot;"/>
    <numFmt numFmtId="167" formatCode="#,##0\ &quot;€&quot;"/>
    <numFmt numFmtId="168" formatCode="#,##0.0"/>
    <numFmt numFmtId="169" formatCode="[$£-809]#,##0"/>
    <numFmt numFmtId="170" formatCode="_-* #,##0\ [$€-816]_-;\-* #,##0\ [$€-816]_-;_-* &quot;-&quot;??\ [$€-816]_-;_-@_-"/>
    <numFmt numFmtId="171" formatCode="#,##0.0\ &quot;€&quot;;[Red]\-#,##0.0\ &quot;€&quot;"/>
    <numFmt numFmtId="172" formatCode="#,##0.0\ [$€-816];\-#,##0.0\ [$€-816]"/>
    <numFmt numFmtId="173" formatCode="_-* #,##0\ &quot;€&quot;_-;\-* #,##0\ &quot;€&quot;_-;_-* &quot;-&quot;??\ &quot;€&quot;_-;_-@_-"/>
    <numFmt numFmtId="174" formatCode="_-* #,##0.0\ &quot;€&quot;_-;\-* #,##0.0\ &quot;€&quot;_-;_-* &quot;-&quot;??\ &quot;€&quot;_-;_-@_-"/>
    <numFmt numFmtId="175" formatCode="0.000%"/>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1"/>
      <color rgb="FF006100"/>
      <name val="Calibri"/>
      <family val="2"/>
      <scheme val="minor"/>
    </font>
    <font>
      <sz val="11"/>
      <color rgb="FFFF0000"/>
      <name val="Calibri"/>
      <family val="2"/>
      <scheme val="minor"/>
    </font>
    <font>
      <sz val="11"/>
      <color rgb="FF0070C0"/>
      <name val="Calibri"/>
      <family val="2"/>
      <scheme val="minor"/>
    </font>
    <font>
      <sz val="11"/>
      <color rgb="FF00B050"/>
      <name val="Calibri"/>
      <family val="2"/>
      <scheme val="minor"/>
    </font>
    <font>
      <sz val="9"/>
      <color indexed="81"/>
      <name val="Tahoma"/>
      <family val="2"/>
    </font>
    <font>
      <b/>
      <sz val="9"/>
      <color indexed="81"/>
      <name val="Tahoma"/>
      <family val="2"/>
    </font>
    <font>
      <sz val="11"/>
      <color theme="4" tint="-0.249977111117893"/>
      <name val="Calibri"/>
      <family val="2"/>
      <scheme val="minor"/>
    </font>
  </fonts>
  <fills count="6">
    <fill>
      <patternFill patternType="none"/>
    </fill>
    <fill>
      <patternFill patternType="gray125"/>
    </fill>
    <fill>
      <patternFill patternType="solid">
        <fgColor rgb="FFC6EFCE"/>
      </patternFill>
    </fill>
    <fill>
      <patternFill patternType="solid">
        <fgColor rgb="FFFFC000"/>
        <bgColor indexed="64"/>
      </patternFill>
    </fill>
    <fill>
      <patternFill patternType="solid">
        <fgColor rgb="FF00FFFF"/>
        <bgColor indexed="64"/>
      </patternFill>
    </fill>
    <fill>
      <patternFill patternType="solid">
        <fgColor rgb="FF00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4">
    <xf numFmtId="0" fontId="0" fillId="0" borderId="0"/>
    <xf numFmtId="9" fontId="1" fillId="0" borderId="0" applyFont="0" applyFill="0" applyBorder="0" applyAlignment="0" applyProtection="0"/>
    <xf numFmtId="0" fontId="3" fillId="2" borderId="0" applyNumberFormat="0" applyBorder="0" applyAlignment="0" applyProtection="0"/>
    <xf numFmtId="44" fontId="1" fillId="0" borderId="0" applyFont="0" applyFill="0" applyBorder="0" applyAlignment="0" applyProtection="0"/>
  </cellStyleXfs>
  <cellXfs count="116">
    <xf numFmtId="0" fontId="0" fillId="0" borderId="0" xfId="0"/>
    <xf numFmtId="0" fontId="0" fillId="0" borderId="0" xfId="0" applyAlignment="1">
      <alignment horizontal="right"/>
    </xf>
    <xf numFmtId="0" fontId="2" fillId="0" borderId="0" xfId="0" applyFont="1"/>
    <xf numFmtId="9" fontId="0" fillId="0" borderId="0" xfId="0" applyNumberFormat="1"/>
    <xf numFmtId="0" fontId="0" fillId="0" borderId="0" xfId="0" applyAlignment="1">
      <alignment horizontal="left" indent="1"/>
    </xf>
    <xf numFmtId="9" fontId="0" fillId="0" borderId="0" xfId="1" applyFont="1"/>
    <xf numFmtId="164" fontId="0" fillId="0" borderId="0" xfId="1" applyNumberFormat="1" applyFont="1"/>
    <xf numFmtId="165" fontId="0" fillId="0" borderId="0" xfId="0" applyNumberFormat="1"/>
    <xf numFmtId="0" fontId="0" fillId="0" borderId="0" xfId="0" applyAlignment="1">
      <alignment horizontal="center" wrapText="1"/>
    </xf>
    <xf numFmtId="0" fontId="0" fillId="0" borderId="1" xfId="0" applyBorder="1"/>
    <xf numFmtId="166" fontId="0" fillId="0" borderId="1" xfId="0" applyNumberFormat="1" applyBorder="1"/>
    <xf numFmtId="167" fontId="0" fillId="0" borderId="1" xfId="0" applyNumberFormat="1" applyBorder="1"/>
    <xf numFmtId="168" fontId="0" fillId="0" borderId="1" xfId="0" applyNumberFormat="1" applyBorder="1"/>
    <xf numFmtId="0" fontId="0" fillId="0" borderId="1" xfId="0" applyBorder="1" applyAlignment="1">
      <alignment horizontal="left" indent="1"/>
    </xf>
    <xf numFmtId="0" fontId="0" fillId="0" borderId="1" xfId="0" applyBorder="1" applyAlignment="1">
      <alignment horizontal="left"/>
    </xf>
    <xf numFmtId="0" fontId="2" fillId="0" borderId="1" xfId="0" applyFont="1" applyBorder="1"/>
    <xf numFmtId="0" fontId="0" fillId="0" borderId="0" xfId="0" applyFill="1" applyBorder="1"/>
    <xf numFmtId="0" fontId="0" fillId="0" borderId="2" xfId="0" applyBorder="1"/>
    <xf numFmtId="0" fontId="0" fillId="0" borderId="2" xfId="0" applyBorder="1" applyAlignment="1">
      <alignment horizontal="left" indent="1"/>
    </xf>
    <xf numFmtId="0" fontId="0" fillId="0" borderId="2" xfId="0" applyFill="1" applyBorder="1" applyAlignment="1">
      <alignment horizontal="left" indent="1"/>
    </xf>
    <xf numFmtId="0" fontId="0" fillId="0" borderId="1" xfId="0" applyFill="1" applyBorder="1" applyAlignment="1">
      <alignment horizontal="left" indent="1"/>
    </xf>
    <xf numFmtId="169" fontId="0" fillId="0" borderId="1" xfId="0" applyNumberFormat="1" applyBorder="1"/>
    <xf numFmtId="0" fontId="0" fillId="0" borderId="0" xfId="0" applyFill="1" applyBorder="1" applyAlignment="1">
      <alignment horizontal="left" indent="1"/>
    </xf>
    <xf numFmtId="0" fontId="2" fillId="0" borderId="0" xfId="0" applyFont="1" applyFill="1" applyBorder="1" applyAlignment="1">
      <alignment horizontal="left"/>
    </xf>
    <xf numFmtId="0" fontId="2" fillId="0" borderId="1" xfId="0" applyFont="1" applyBorder="1" applyAlignment="1">
      <alignment horizontal="center" vertical="top" wrapText="1"/>
    </xf>
    <xf numFmtId="0" fontId="2" fillId="0" borderId="1" xfId="0" applyFont="1" applyBorder="1" applyAlignment="1">
      <alignment horizontal="center"/>
    </xf>
    <xf numFmtId="168" fontId="0" fillId="0" borderId="0" xfId="0" applyNumberFormat="1" applyBorder="1"/>
    <xf numFmtId="0" fontId="0" fillId="0" borderId="1" xfId="0" applyFont="1" applyFill="1" applyBorder="1" applyAlignment="1">
      <alignment horizontal="left" indent="1"/>
    </xf>
    <xf numFmtId="168" fontId="0" fillId="0" borderId="1" xfId="0" applyNumberFormat="1" applyFont="1" applyBorder="1"/>
    <xf numFmtId="0" fontId="0" fillId="0" borderId="1" xfId="0" applyFont="1" applyFill="1" applyBorder="1" applyAlignment="1">
      <alignment horizontal="left"/>
    </xf>
    <xf numFmtId="0" fontId="0" fillId="0" borderId="0" xfId="0" applyBorder="1" applyAlignment="1">
      <alignment horizontal="left" indent="1"/>
    </xf>
    <xf numFmtId="166" fontId="2" fillId="0" borderId="1" xfId="0" applyNumberFormat="1" applyFont="1" applyBorder="1"/>
    <xf numFmtId="166" fontId="0" fillId="0" borderId="0" xfId="0" applyNumberFormat="1" applyBorder="1"/>
    <xf numFmtId="0" fontId="0" fillId="0" borderId="0" xfId="0" applyFont="1" applyFill="1" applyBorder="1" applyAlignment="1">
      <alignment horizontal="left" indent="1"/>
    </xf>
    <xf numFmtId="0" fontId="2" fillId="0" borderId="1" xfId="0" applyFont="1" applyBorder="1" applyAlignment="1">
      <alignment horizontal="left" indent="1"/>
    </xf>
    <xf numFmtId="0" fontId="2" fillId="0" borderId="1" xfId="0" applyFont="1" applyFill="1" applyBorder="1" applyAlignment="1">
      <alignment horizontal="left"/>
    </xf>
    <xf numFmtId="0" fontId="2" fillId="0" borderId="1" xfId="0" applyFont="1" applyBorder="1" applyAlignment="1">
      <alignment horizontal="left"/>
    </xf>
    <xf numFmtId="14" fontId="0" fillId="0" borderId="0" xfId="0" applyNumberFormat="1"/>
    <xf numFmtId="0" fontId="2" fillId="0" borderId="0" xfId="0" applyFont="1" applyAlignment="1">
      <alignment horizontal="center" wrapText="1"/>
    </xf>
    <xf numFmtId="0" fontId="2" fillId="0" borderId="0" xfId="0" applyFont="1" applyAlignment="1">
      <alignment horizontal="center"/>
    </xf>
    <xf numFmtId="4" fontId="0" fillId="0" borderId="1" xfId="0" applyNumberFormat="1" applyBorder="1"/>
    <xf numFmtId="164" fontId="0" fillId="0" borderId="1" xfId="1" applyNumberFormat="1" applyFont="1" applyBorder="1"/>
    <xf numFmtId="4" fontId="0" fillId="0" borderId="0" xfId="0" applyNumberFormat="1"/>
    <xf numFmtId="0" fontId="0" fillId="0" borderId="0" xfId="0" applyBorder="1"/>
    <xf numFmtId="170" fontId="0" fillId="0" borderId="0" xfId="0" applyNumberFormat="1"/>
    <xf numFmtId="0" fontId="0" fillId="0" borderId="1" xfId="0" applyBorder="1" applyAlignment="1">
      <alignment horizontal="right"/>
    </xf>
    <xf numFmtId="165" fontId="0" fillId="0" borderId="1" xfId="0" applyNumberFormat="1" applyBorder="1"/>
    <xf numFmtId="9" fontId="0" fillId="0" borderId="1" xfId="0" applyNumberFormat="1" applyBorder="1"/>
    <xf numFmtId="2" fontId="0" fillId="0" borderId="1" xfId="0" applyNumberFormat="1" applyBorder="1"/>
    <xf numFmtId="171" fontId="0" fillId="0" borderId="0" xfId="0" applyNumberFormat="1"/>
    <xf numFmtId="165" fontId="0" fillId="0" borderId="0" xfId="0" applyNumberFormat="1" applyBorder="1"/>
    <xf numFmtId="0" fontId="0" fillId="0" borderId="1" xfId="0" applyFill="1" applyBorder="1"/>
    <xf numFmtId="171" fontId="0" fillId="0" borderId="1" xfId="0" applyNumberFormat="1" applyBorder="1"/>
    <xf numFmtId="8" fontId="0" fillId="0" borderId="1" xfId="0" applyNumberFormat="1" applyBorder="1"/>
    <xf numFmtId="165" fontId="0" fillId="0" borderId="2" xfId="0" applyNumberFormat="1" applyBorder="1"/>
    <xf numFmtId="165" fontId="0" fillId="0" borderId="5" xfId="0" applyNumberFormat="1" applyBorder="1"/>
    <xf numFmtId="164" fontId="0" fillId="0" borderId="0" xfId="1" applyNumberFormat="1" applyFont="1" applyBorder="1"/>
    <xf numFmtId="2" fontId="0" fillId="0" borderId="0" xfId="0" applyNumberFormat="1" applyBorder="1"/>
    <xf numFmtId="171" fontId="0" fillId="0" borderId="0" xfId="0" applyNumberFormat="1" applyBorder="1"/>
    <xf numFmtId="0" fontId="2" fillId="0" borderId="1" xfId="0" applyFont="1" applyBorder="1" applyAlignment="1">
      <alignment horizontal="right"/>
    </xf>
    <xf numFmtId="0" fontId="2" fillId="0" borderId="3" xfId="0" applyFont="1" applyBorder="1"/>
    <xf numFmtId="0" fontId="2" fillId="0" borderId="3" xfId="0" applyFont="1" applyBorder="1" applyAlignment="1">
      <alignment horizontal="right"/>
    </xf>
    <xf numFmtId="0" fontId="0" fillId="0" borderId="4" xfId="0" applyFill="1" applyBorder="1"/>
    <xf numFmtId="164" fontId="0" fillId="0" borderId="4" xfId="1" applyNumberFormat="1" applyFont="1" applyBorder="1"/>
    <xf numFmtId="166" fontId="0" fillId="0" borderId="1" xfId="1" applyNumberFormat="1" applyFont="1" applyBorder="1"/>
    <xf numFmtId="172" fontId="0" fillId="0" borderId="1" xfId="0" applyNumberFormat="1" applyBorder="1"/>
    <xf numFmtId="172" fontId="0" fillId="0" borderId="2" xfId="0" applyNumberFormat="1" applyBorder="1"/>
    <xf numFmtId="172" fontId="0" fillId="0" borderId="5" xfId="0" applyNumberFormat="1" applyBorder="1"/>
    <xf numFmtId="168" fontId="2" fillId="0" borderId="1" xfId="0" applyNumberFormat="1" applyFont="1" applyBorder="1"/>
    <xf numFmtId="165" fontId="2" fillId="0" borderId="0" xfId="0" applyNumberFormat="1" applyFont="1"/>
    <xf numFmtId="166" fontId="0" fillId="0" borderId="0" xfId="0" applyNumberFormat="1"/>
    <xf numFmtId="0" fontId="0" fillId="0" borderId="6" xfId="0" applyFill="1" applyBorder="1"/>
    <xf numFmtId="0" fontId="2" fillId="0" borderId="1" xfId="0" applyFont="1" applyFill="1" applyBorder="1"/>
    <xf numFmtId="173" fontId="0" fillId="0" borderId="1" xfId="3" applyNumberFormat="1" applyFont="1" applyBorder="1" applyAlignment="1">
      <alignment horizontal="right"/>
    </xf>
    <xf numFmtId="173" fontId="0" fillId="0" borderId="1" xfId="0" applyNumberFormat="1" applyBorder="1" applyAlignment="1">
      <alignment horizontal="right"/>
    </xf>
    <xf numFmtId="0" fontId="0" fillId="0" borderId="1" xfId="0" applyBorder="1" applyAlignment="1">
      <alignment horizontal="right" wrapText="1"/>
    </xf>
    <xf numFmtId="0" fontId="0" fillId="3" borderId="1" xfId="0" applyFill="1" applyBorder="1" applyAlignment="1">
      <alignment horizontal="right"/>
    </xf>
    <xf numFmtId="9" fontId="6" fillId="0" borderId="1" xfId="1" applyFont="1" applyBorder="1" applyAlignment="1">
      <alignment horizontal="right"/>
    </xf>
    <xf numFmtId="9" fontId="6" fillId="0" borderId="1" xfId="1" applyNumberFormat="1" applyFont="1" applyBorder="1" applyAlignment="1">
      <alignment horizontal="right"/>
    </xf>
    <xf numFmtId="14"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wrapText="1"/>
    </xf>
    <xf numFmtId="0" fontId="0" fillId="0" borderId="1" xfId="0" applyBorder="1" applyAlignment="1">
      <alignment horizontal="center" wrapText="1"/>
    </xf>
    <xf numFmtId="0" fontId="3" fillId="2" borderId="1" xfId="2" applyBorder="1"/>
    <xf numFmtId="166" fontId="3" fillId="2" borderId="1" xfId="2" applyNumberFormat="1" applyBorder="1"/>
    <xf numFmtId="4" fontId="2" fillId="0" borderId="1" xfId="0" applyNumberFormat="1" applyFont="1" applyBorder="1"/>
    <xf numFmtId="164" fontId="2" fillId="0" borderId="1" xfId="1" applyNumberFormat="1" applyFont="1" applyBorder="1"/>
    <xf numFmtId="0" fontId="2" fillId="0" borderId="0" xfId="0" applyFont="1" applyBorder="1" applyAlignment="1">
      <alignment horizontal="left" indent="1"/>
    </xf>
    <xf numFmtId="170" fontId="2" fillId="0" borderId="0" xfId="0" applyNumberFormat="1" applyFont="1"/>
    <xf numFmtId="4" fontId="2" fillId="0" borderId="0" xfId="0" applyNumberFormat="1" applyFont="1"/>
    <xf numFmtId="174" fontId="0" fillId="3" borderId="1" xfId="3" applyNumberFormat="1" applyFont="1" applyFill="1" applyBorder="1" applyAlignment="1">
      <alignment horizontal="right"/>
    </xf>
    <xf numFmtId="174" fontId="0" fillId="3" borderId="1" xfId="0" applyNumberFormat="1" applyFill="1" applyBorder="1" applyAlignment="1">
      <alignment horizontal="right"/>
    </xf>
    <xf numFmtId="174" fontId="0" fillId="3" borderId="1" xfId="3" applyNumberFormat="1" applyFont="1" applyFill="1" applyBorder="1" applyAlignment="1">
      <alignment horizontal="right" wrapText="1"/>
    </xf>
    <xf numFmtId="0" fontId="0" fillId="0" borderId="0" xfId="0" quotePrefix="1"/>
    <xf numFmtId="171" fontId="2" fillId="4" borderId="1" xfId="0" applyNumberFormat="1" applyFont="1" applyFill="1" applyBorder="1"/>
    <xf numFmtId="164" fontId="5" fillId="5" borderId="1" xfId="0" applyNumberFormat="1" applyFont="1" applyFill="1" applyBorder="1"/>
    <xf numFmtId="2" fontId="9" fillId="5" borderId="1" xfId="0" applyNumberFormat="1" applyFont="1" applyFill="1" applyBorder="1"/>
    <xf numFmtId="164" fontId="9" fillId="5" borderId="1" xfId="0" applyNumberFormat="1" applyFont="1" applyFill="1" applyBorder="1"/>
    <xf numFmtId="9" fontId="0" fillId="0" borderId="0" xfId="0" applyNumberFormat="1" applyAlignment="1">
      <alignment horizontal="right"/>
    </xf>
    <xf numFmtId="10" fontId="0" fillId="0" borderId="0" xfId="0" applyNumberFormat="1" applyAlignment="1">
      <alignment horizontal="right"/>
    </xf>
    <xf numFmtId="166" fontId="0" fillId="0" borderId="0" xfId="0" applyNumberFormat="1" applyAlignment="1">
      <alignment horizontal="right"/>
    </xf>
    <xf numFmtId="164" fontId="0" fillId="0" borderId="1" xfId="0" applyNumberFormat="1" applyBorder="1"/>
    <xf numFmtId="171" fontId="0" fillId="4" borderId="1" xfId="0" applyNumberFormat="1" applyFill="1" applyBorder="1"/>
    <xf numFmtId="165" fontId="0" fillId="0" borderId="0" xfId="0" applyNumberFormat="1" applyFont="1"/>
    <xf numFmtId="0" fontId="0" fillId="0" borderId="3" xfId="0" applyBorder="1" applyAlignment="1">
      <alignment horizontal="center"/>
    </xf>
    <xf numFmtId="0" fontId="0" fillId="0" borderId="4" xfId="0" applyBorder="1" applyAlignment="1">
      <alignment horizontal="center"/>
    </xf>
    <xf numFmtId="0" fontId="2" fillId="0" borderId="1" xfId="0" applyFont="1" applyBorder="1" applyAlignment="1">
      <alignment horizontal="center"/>
    </xf>
    <xf numFmtId="8" fontId="0" fillId="0" borderId="4" xfId="0" applyNumberFormat="1" applyBorder="1"/>
    <xf numFmtId="0" fontId="2" fillId="0" borderId="1" xfId="0" applyFont="1" applyFill="1" applyBorder="1" applyAlignment="1">
      <alignment horizontal="left" indent="1"/>
    </xf>
    <xf numFmtId="0" fontId="2" fillId="0" borderId="1" xfId="0" applyFont="1" applyBorder="1" applyAlignment="1">
      <alignment horizontal="center" wrapText="1"/>
    </xf>
    <xf numFmtId="175" fontId="0" fillId="0" borderId="1" xfId="0" applyNumberFormat="1" applyBorder="1"/>
    <xf numFmtId="10" fontId="5" fillId="5" borderId="1" xfId="0" applyNumberFormat="1" applyFont="1" applyFill="1" applyBorder="1"/>
    <xf numFmtId="10" fontId="0" fillId="0" borderId="1" xfId="0" applyNumberFormat="1" applyBorder="1"/>
    <xf numFmtId="0" fontId="0" fillId="0" borderId="0" xfId="0" applyAlignment="1">
      <alignment wrapText="1"/>
    </xf>
    <xf numFmtId="0" fontId="0" fillId="0" borderId="7" xfId="0" applyBorder="1" applyAlignment="1">
      <alignment horizontal="center"/>
    </xf>
    <xf numFmtId="0" fontId="2" fillId="0" borderId="0" xfId="0" applyFont="1" applyAlignment="1">
      <alignment horizontal="center"/>
    </xf>
  </cellXfs>
  <cellStyles count="4">
    <cellStyle name="Currency" xfId="3" builtinId="4"/>
    <cellStyle name="Good" xfId="2" builtinId="26"/>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81"/>
  <sheetViews>
    <sheetView topLeftCell="A70" zoomScale="142" zoomScaleNormal="142" workbookViewId="0">
      <selection activeCell="A82" sqref="A82"/>
    </sheetView>
  </sheetViews>
  <sheetFormatPr defaultRowHeight="14.5" x14ac:dyDescent="0.35"/>
  <cols>
    <col min="1" max="1" width="39" customWidth="1"/>
    <col min="2" max="2" width="11.453125" customWidth="1"/>
    <col min="3" max="3" width="11.81640625" customWidth="1"/>
  </cols>
  <sheetData>
    <row r="2" spans="1:10" x14ac:dyDescent="0.35">
      <c r="A2" s="2" t="s">
        <v>135</v>
      </c>
    </row>
    <row r="3" spans="1:10" ht="58" x14ac:dyDescent="0.35">
      <c r="A3" s="17"/>
      <c r="B3" s="24" t="s">
        <v>44</v>
      </c>
      <c r="C3" s="24" t="s">
        <v>45</v>
      </c>
      <c r="D3" s="24" t="s">
        <v>47</v>
      </c>
      <c r="E3" s="24" t="s">
        <v>146</v>
      </c>
      <c r="F3" s="24" t="s">
        <v>48</v>
      </c>
    </row>
    <row r="4" spans="1:10" x14ac:dyDescent="0.35">
      <c r="A4" s="2" t="s">
        <v>40</v>
      </c>
      <c r="B4" s="9"/>
      <c r="C4" s="9"/>
      <c r="D4" s="9"/>
      <c r="E4" s="9"/>
      <c r="F4" s="9"/>
    </row>
    <row r="5" spans="1:10" x14ac:dyDescent="0.35">
      <c r="A5" s="18" t="s">
        <v>41</v>
      </c>
      <c r="B5" s="10">
        <v>54</v>
      </c>
      <c r="C5" s="9">
        <v>5.9</v>
      </c>
      <c r="D5" s="11">
        <f>+B5*C5</f>
        <v>318.60000000000002</v>
      </c>
      <c r="E5" s="11">
        <v>289</v>
      </c>
      <c r="F5" s="11">
        <f>+D5+E5</f>
        <v>607.6</v>
      </c>
    </row>
    <row r="6" spans="1:10" x14ac:dyDescent="0.35">
      <c r="A6" s="18" t="s">
        <v>42</v>
      </c>
      <c r="B6" s="10">
        <v>29.7</v>
      </c>
      <c r="C6" s="9">
        <v>6.7</v>
      </c>
      <c r="D6" s="11">
        <f t="shared" ref="D6:D7" si="0">+B6*C6</f>
        <v>198.99</v>
      </c>
      <c r="E6" s="11">
        <v>520</v>
      </c>
      <c r="F6" s="11">
        <f t="shared" ref="F6:F7" si="1">+D6+E6</f>
        <v>718.99</v>
      </c>
    </row>
    <row r="7" spans="1:10" x14ac:dyDescent="0.35">
      <c r="A7" s="18" t="s">
        <v>43</v>
      </c>
      <c r="B7" s="10">
        <v>41.2</v>
      </c>
      <c r="C7" s="9">
        <v>4.5999999999999996</v>
      </c>
      <c r="D7" s="11">
        <f t="shared" si="0"/>
        <v>189.52</v>
      </c>
      <c r="E7" s="11">
        <v>535</v>
      </c>
      <c r="F7" s="11">
        <f t="shared" si="1"/>
        <v>724.52</v>
      </c>
    </row>
    <row r="8" spans="1:10" x14ac:dyDescent="0.35">
      <c r="A8" s="18"/>
      <c r="B8" s="10"/>
      <c r="C8" s="9"/>
      <c r="D8" s="11"/>
      <c r="E8" s="11"/>
      <c r="F8" s="11"/>
    </row>
    <row r="9" spans="1:10" x14ac:dyDescent="0.35">
      <c r="A9" s="2" t="s">
        <v>61</v>
      </c>
      <c r="B9" s="9"/>
      <c r="C9" s="9"/>
      <c r="D9" s="9"/>
      <c r="E9" s="9"/>
      <c r="F9" s="9"/>
    </row>
    <row r="10" spans="1:10" x14ac:dyDescent="0.35">
      <c r="A10" s="19" t="s">
        <v>62</v>
      </c>
      <c r="B10" s="21">
        <v>10.8</v>
      </c>
      <c r="C10" s="21">
        <v>2503.8000000000002</v>
      </c>
      <c r="D10" s="21">
        <f t="shared" ref="D10:D13" si="2">+B10*C10</f>
        <v>27041.040000000005</v>
      </c>
      <c r="E10" s="21">
        <v>8750</v>
      </c>
      <c r="F10" s="21">
        <f>+D10+E10</f>
        <v>35791.040000000008</v>
      </c>
    </row>
    <row r="11" spans="1:10" x14ac:dyDescent="0.35">
      <c r="A11" s="19" t="s">
        <v>63</v>
      </c>
      <c r="B11" s="10">
        <v>59.9</v>
      </c>
      <c r="C11" s="9">
        <v>263.89999999999998</v>
      </c>
      <c r="D11" s="11">
        <f t="shared" si="2"/>
        <v>15807.609999999999</v>
      </c>
      <c r="E11" s="11">
        <v>12680</v>
      </c>
      <c r="F11" s="11">
        <f t="shared" ref="F11:F13" si="3">+D11+E11</f>
        <v>28487.61</v>
      </c>
    </row>
    <row r="12" spans="1:10" x14ac:dyDescent="0.35">
      <c r="A12" s="19" t="s">
        <v>64</v>
      </c>
      <c r="B12" s="10">
        <v>7.2949999999999999</v>
      </c>
      <c r="C12" s="9">
        <v>290.39999999999998</v>
      </c>
      <c r="D12" s="11">
        <f t="shared" si="2"/>
        <v>2118.4679999999998</v>
      </c>
      <c r="E12" s="11">
        <v>334</v>
      </c>
      <c r="F12" s="11">
        <f t="shared" si="3"/>
        <v>2452.4679999999998</v>
      </c>
    </row>
    <row r="13" spans="1:10" x14ac:dyDescent="0.35">
      <c r="A13" s="19" t="s">
        <v>65</v>
      </c>
      <c r="B13" s="10">
        <v>35.604999999999997</v>
      </c>
      <c r="C13" s="9">
        <v>48.4</v>
      </c>
      <c r="D13" s="11">
        <f t="shared" si="2"/>
        <v>1723.2819999999997</v>
      </c>
      <c r="E13" s="11">
        <v>437</v>
      </c>
      <c r="F13" s="11">
        <f t="shared" si="3"/>
        <v>2160.2819999999997</v>
      </c>
    </row>
    <row r="14" spans="1:10" x14ac:dyDescent="0.35">
      <c r="A14" s="16"/>
    </row>
    <row r="15" spans="1:10" x14ac:dyDescent="0.35">
      <c r="A15" s="23" t="s">
        <v>136</v>
      </c>
    </row>
    <row r="16" spans="1:10" x14ac:dyDescent="0.35">
      <c r="A16" s="104"/>
      <c r="B16" s="106" t="s">
        <v>49</v>
      </c>
      <c r="C16" s="106"/>
      <c r="D16" s="106"/>
      <c r="E16" s="106" t="s">
        <v>50</v>
      </c>
      <c r="F16" s="106"/>
      <c r="G16" s="106"/>
      <c r="H16" s="106" t="s">
        <v>51</v>
      </c>
      <c r="I16" s="106"/>
      <c r="J16" s="106"/>
    </row>
    <row r="17" spans="1:10" x14ac:dyDescent="0.35">
      <c r="A17" s="105"/>
      <c r="B17" s="25" t="s">
        <v>1</v>
      </c>
      <c r="C17" s="25" t="s">
        <v>2</v>
      </c>
      <c r="D17" s="25" t="s">
        <v>17</v>
      </c>
      <c r="E17" s="25" t="s">
        <v>1</v>
      </c>
      <c r="F17" s="25" t="s">
        <v>2</v>
      </c>
      <c r="G17" s="25" t="s">
        <v>17</v>
      </c>
      <c r="H17" s="25" t="s">
        <v>1</v>
      </c>
      <c r="I17" s="25" t="s">
        <v>2</v>
      </c>
      <c r="J17" s="25" t="s">
        <v>17</v>
      </c>
    </row>
    <row r="18" spans="1:10" x14ac:dyDescent="0.35">
      <c r="A18" s="15" t="s">
        <v>40</v>
      </c>
      <c r="B18" s="9"/>
      <c r="C18" s="9"/>
      <c r="D18" s="9"/>
      <c r="E18" s="9"/>
      <c r="F18" s="9"/>
      <c r="G18" s="9"/>
      <c r="H18" s="9"/>
      <c r="I18" s="9"/>
      <c r="J18" s="9"/>
    </row>
    <row r="19" spans="1:10" x14ac:dyDescent="0.35">
      <c r="A19" s="9" t="s">
        <v>41</v>
      </c>
      <c r="B19" s="11">
        <v>159</v>
      </c>
      <c r="C19" s="11">
        <v>170</v>
      </c>
      <c r="D19" s="11">
        <v>182</v>
      </c>
      <c r="E19" s="11">
        <v>33</v>
      </c>
      <c r="F19" s="11">
        <v>38</v>
      </c>
      <c r="G19" s="11">
        <v>45</v>
      </c>
      <c r="H19" s="11">
        <v>29</v>
      </c>
      <c r="I19" s="11">
        <v>36</v>
      </c>
      <c r="J19" s="11">
        <v>42</v>
      </c>
    </row>
    <row r="20" spans="1:10" x14ac:dyDescent="0.35">
      <c r="A20" s="9" t="s">
        <v>42</v>
      </c>
      <c r="B20" s="11">
        <v>270</v>
      </c>
      <c r="C20" s="11">
        <v>313</v>
      </c>
      <c r="D20" s="11">
        <v>353</v>
      </c>
      <c r="E20" s="11">
        <v>51</v>
      </c>
      <c r="F20" s="11">
        <v>57</v>
      </c>
      <c r="G20" s="11">
        <v>66</v>
      </c>
      <c r="H20" s="11">
        <v>42</v>
      </c>
      <c r="I20" s="11">
        <v>47</v>
      </c>
      <c r="J20" s="11">
        <v>55</v>
      </c>
    </row>
    <row r="21" spans="1:10" x14ac:dyDescent="0.35">
      <c r="A21" s="9" t="s">
        <v>43</v>
      </c>
      <c r="B21" s="11">
        <v>276</v>
      </c>
      <c r="C21" s="11">
        <v>285</v>
      </c>
      <c r="D21" s="11">
        <v>307</v>
      </c>
      <c r="E21" s="11">
        <v>45</v>
      </c>
      <c r="F21" s="11">
        <v>51</v>
      </c>
      <c r="G21" s="11">
        <v>62</v>
      </c>
      <c r="H21" s="11">
        <v>35</v>
      </c>
      <c r="I21" s="11">
        <v>42</v>
      </c>
      <c r="J21" s="11">
        <v>54</v>
      </c>
    </row>
    <row r="22" spans="1:10" x14ac:dyDescent="0.35">
      <c r="A22" s="9"/>
      <c r="B22" s="11"/>
      <c r="C22" s="11"/>
      <c r="D22" s="11"/>
      <c r="E22" s="11"/>
      <c r="F22" s="11"/>
      <c r="G22" s="11"/>
      <c r="H22" s="11"/>
      <c r="I22" s="11"/>
      <c r="J22" s="11"/>
    </row>
    <row r="23" spans="1:10" x14ac:dyDescent="0.35">
      <c r="A23" s="15" t="s">
        <v>61</v>
      </c>
      <c r="B23" s="9"/>
      <c r="C23" s="9"/>
      <c r="D23" s="9"/>
      <c r="E23" s="9"/>
      <c r="F23" s="9"/>
      <c r="G23" s="9"/>
      <c r="H23" s="9"/>
      <c r="I23" s="9"/>
      <c r="J23" s="9"/>
    </row>
    <row r="24" spans="1:10" x14ac:dyDescent="0.35">
      <c r="A24" s="20" t="s">
        <v>62</v>
      </c>
      <c r="B24" s="21">
        <v>9309</v>
      </c>
      <c r="C24" s="21">
        <v>9740</v>
      </c>
      <c r="D24" s="21">
        <v>10195</v>
      </c>
      <c r="E24" s="21">
        <v>2918</v>
      </c>
      <c r="F24" s="21">
        <v>3062</v>
      </c>
      <c r="G24" s="21">
        <v>3235</v>
      </c>
      <c r="H24" s="21">
        <v>2667</v>
      </c>
      <c r="I24" s="21">
        <v>2796</v>
      </c>
      <c r="J24" s="21">
        <v>2982</v>
      </c>
    </row>
    <row r="25" spans="1:10" x14ac:dyDescent="0.35">
      <c r="A25" s="20" t="s">
        <v>63</v>
      </c>
      <c r="B25" s="11">
        <v>7188</v>
      </c>
      <c r="C25" s="11">
        <v>6983</v>
      </c>
      <c r="D25" s="11">
        <v>7241</v>
      </c>
      <c r="E25" s="11">
        <v>2028</v>
      </c>
      <c r="F25" s="11">
        <v>1986</v>
      </c>
      <c r="G25" s="11">
        <v>2096</v>
      </c>
      <c r="H25" s="11">
        <v>1808</v>
      </c>
      <c r="I25" s="11">
        <v>1784</v>
      </c>
      <c r="J25" s="11">
        <v>1913</v>
      </c>
    </row>
    <row r="26" spans="1:10" x14ac:dyDescent="0.35">
      <c r="A26" s="20" t="s">
        <v>64</v>
      </c>
      <c r="B26" s="11">
        <v>1022</v>
      </c>
      <c r="C26" s="11">
        <v>1090</v>
      </c>
      <c r="D26" s="11">
        <v>1138</v>
      </c>
      <c r="E26" s="11">
        <v>255</v>
      </c>
      <c r="F26" s="11">
        <v>277</v>
      </c>
      <c r="G26" s="11">
        <v>290</v>
      </c>
      <c r="H26" s="11">
        <v>231</v>
      </c>
      <c r="I26" s="11">
        <v>251</v>
      </c>
      <c r="J26" s="11">
        <v>266</v>
      </c>
    </row>
    <row r="27" spans="1:10" x14ac:dyDescent="0.35">
      <c r="A27" s="20" t="s">
        <v>65</v>
      </c>
      <c r="B27" s="11">
        <v>730</v>
      </c>
      <c r="C27" s="11">
        <v>762</v>
      </c>
      <c r="D27" s="11">
        <v>806</v>
      </c>
      <c r="E27" s="11">
        <v>157</v>
      </c>
      <c r="F27" s="11">
        <v>173</v>
      </c>
      <c r="G27" s="11">
        <v>191</v>
      </c>
      <c r="H27" s="11">
        <v>139</v>
      </c>
      <c r="I27" s="11">
        <v>156</v>
      </c>
      <c r="J27" s="11">
        <v>175</v>
      </c>
    </row>
    <row r="29" spans="1:10" x14ac:dyDescent="0.35">
      <c r="A29" s="23" t="s">
        <v>137</v>
      </c>
    </row>
    <row r="30" spans="1:10" x14ac:dyDescent="0.35">
      <c r="A30" s="104"/>
      <c r="B30" s="106" t="s">
        <v>52</v>
      </c>
      <c r="C30" s="106"/>
      <c r="D30" s="106"/>
      <c r="E30" s="106" t="s">
        <v>53</v>
      </c>
      <c r="F30" s="106"/>
      <c r="G30" s="106"/>
      <c r="H30" s="106" t="s">
        <v>54</v>
      </c>
      <c r="I30" s="106"/>
      <c r="J30" s="106"/>
    </row>
    <row r="31" spans="1:10" x14ac:dyDescent="0.35">
      <c r="A31" s="105"/>
      <c r="B31" s="25" t="s">
        <v>1</v>
      </c>
      <c r="C31" s="25" t="s">
        <v>2</v>
      </c>
      <c r="D31" s="25" t="s">
        <v>17</v>
      </c>
      <c r="E31" s="25" t="s">
        <v>1</v>
      </c>
      <c r="F31" s="25" t="s">
        <v>2</v>
      </c>
      <c r="G31" s="25" t="s">
        <v>17</v>
      </c>
      <c r="H31" s="25" t="s">
        <v>1</v>
      </c>
      <c r="I31" s="25" t="s">
        <v>2</v>
      </c>
      <c r="J31" s="25" t="s">
        <v>17</v>
      </c>
    </row>
    <row r="32" spans="1:10" x14ac:dyDescent="0.35">
      <c r="A32" s="15" t="s">
        <v>40</v>
      </c>
      <c r="B32" s="9"/>
      <c r="C32" s="9"/>
      <c r="D32" s="9"/>
      <c r="E32" s="9"/>
      <c r="F32" s="9"/>
      <c r="G32" s="9"/>
      <c r="H32" s="9"/>
      <c r="I32" s="9"/>
      <c r="J32" s="9"/>
    </row>
    <row r="33" spans="1:10" x14ac:dyDescent="0.35">
      <c r="A33" s="13" t="s">
        <v>41</v>
      </c>
      <c r="B33" s="12">
        <f>+$F5/B19</f>
        <v>3.8213836477987422</v>
      </c>
      <c r="C33" s="12">
        <f>+$F5/C19</f>
        <v>3.5741176470588236</v>
      </c>
      <c r="D33" s="12">
        <f>+$F5/D19</f>
        <v>3.3384615384615386</v>
      </c>
      <c r="E33" s="12">
        <f>+$F5/E19</f>
        <v>18.412121212121214</v>
      </c>
      <c r="F33" s="12">
        <f t="shared" ref="F33:G33" si="4">+$F5/F19</f>
        <v>15.989473684210527</v>
      </c>
      <c r="G33" s="12">
        <f t="shared" si="4"/>
        <v>13.502222222222223</v>
      </c>
      <c r="H33" s="12">
        <f>+$F5/H19</f>
        <v>20.951724137931034</v>
      </c>
      <c r="I33" s="12">
        <f t="shared" ref="I33:J33" si="5">+$F5/I19</f>
        <v>16.87777777777778</v>
      </c>
      <c r="J33" s="12">
        <f t="shared" si="5"/>
        <v>14.466666666666667</v>
      </c>
    </row>
    <row r="34" spans="1:10" x14ac:dyDescent="0.35">
      <c r="A34" s="13" t="s">
        <v>42</v>
      </c>
      <c r="B34" s="12">
        <f t="shared" ref="B34:D35" si="6">+$F6/B20</f>
        <v>2.6629259259259261</v>
      </c>
      <c r="C34" s="12">
        <f t="shared" si="6"/>
        <v>2.2970926517571884</v>
      </c>
      <c r="D34" s="12">
        <f t="shared" si="6"/>
        <v>2.0367988668555239</v>
      </c>
      <c r="E34" s="12">
        <f t="shared" ref="E34:J34" si="7">+$F6/E20</f>
        <v>14.097843137254902</v>
      </c>
      <c r="F34" s="12">
        <f t="shared" si="7"/>
        <v>12.613859649122807</v>
      </c>
      <c r="G34" s="12">
        <f t="shared" si="7"/>
        <v>10.893787878787879</v>
      </c>
      <c r="H34" s="12">
        <f t="shared" si="7"/>
        <v>17.118809523809524</v>
      </c>
      <c r="I34" s="12">
        <f t="shared" si="7"/>
        <v>15.297659574468085</v>
      </c>
      <c r="J34" s="12">
        <f t="shared" si="7"/>
        <v>13.072545454545455</v>
      </c>
    </row>
    <row r="35" spans="1:10" x14ac:dyDescent="0.35">
      <c r="A35" s="13" t="s">
        <v>43</v>
      </c>
      <c r="B35" s="12">
        <f t="shared" si="6"/>
        <v>2.6250724637681158</v>
      </c>
      <c r="C35" s="12">
        <f t="shared" si="6"/>
        <v>2.542175438596491</v>
      </c>
      <c r="D35" s="12">
        <f t="shared" si="6"/>
        <v>2.36</v>
      </c>
      <c r="E35" s="12">
        <f t="shared" ref="E35:J35" si="8">+$F7/E21</f>
        <v>16.100444444444445</v>
      </c>
      <c r="F35" s="12">
        <f t="shared" si="8"/>
        <v>14.20627450980392</v>
      </c>
      <c r="G35" s="12">
        <f t="shared" si="8"/>
        <v>11.685806451612903</v>
      </c>
      <c r="H35" s="12">
        <f t="shared" si="8"/>
        <v>20.700571428571429</v>
      </c>
      <c r="I35" s="12">
        <f t="shared" si="8"/>
        <v>17.250476190476189</v>
      </c>
      <c r="J35" s="12">
        <f t="shared" si="8"/>
        <v>13.417037037037037</v>
      </c>
    </row>
    <row r="36" spans="1:10" x14ac:dyDescent="0.35">
      <c r="A36" s="15" t="s">
        <v>66</v>
      </c>
      <c r="B36" s="68">
        <f>AVERAGE(B33:B35)</f>
        <v>3.0364606791642612</v>
      </c>
      <c r="C36" s="68">
        <f t="shared" ref="C36:J36" si="9">AVERAGE(C33:C35)</f>
        <v>2.8044619124708343</v>
      </c>
      <c r="D36" s="68">
        <f t="shared" si="9"/>
        <v>2.5784201351056875</v>
      </c>
      <c r="E36" s="68">
        <f t="shared" si="9"/>
        <v>16.203469597940188</v>
      </c>
      <c r="F36" s="68">
        <f t="shared" si="9"/>
        <v>14.26986928104575</v>
      </c>
      <c r="G36" s="68">
        <f t="shared" si="9"/>
        <v>12.027272184207668</v>
      </c>
      <c r="H36" s="68">
        <f t="shared" si="9"/>
        <v>19.590368363437328</v>
      </c>
      <c r="I36" s="68">
        <f t="shared" si="9"/>
        <v>16.475304514240687</v>
      </c>
      <c r="J36" s="68">
        <f t="shared" si="9"/>
        <v>13.652083052749722</v>
      </c>
    </row>
    <row r="37" spans="1:10" x14ac:dyDescent="0.35">
      <c r="A37" s="15" t="s">
        <v>139</v>
      </c>
      <c r="B37" s="68">
        <f>MEDIAN(B33:B35)</f>
        <v>2.6629259259259261</v>
      </c>
      <c r="C37" s="68">
        <f t="shared" ref="C37:J37" si="10">MEDIAN(C33:C35)</f>
        <v>2.542175438596491</v>
      </c>
      <c r="D37" s="68">
        <f t="shared" si="10"/>
        <v>2.36</v>
      </c>
      <c r="E37" s="68">
        <f t="shared" si="10"/>
        <v>16.100444444444445</v>
      </c>
      <c r="F37" s="68">
        <f t="shared" si="10"/>
        <v>14.20627450980392</v>
      </c>
      <c r="G37" s="68">
        <f t="shared" si="10"/>
        <v>11.685806451612903</v>
      </c>
      <c r="H37" s="68">
        <f t="shared" si="10"/>
        <v>20.700571428571429</v>
      </c>
      <c r="I37" s="68">
        <f t="shared" si="10"/>
        <v>16.87777777777778</v>
      </c>
      <c r="J37" s="68">
        <f t="shared" si="10"/>
        <v>13.417037037037037</v>
      </c>
    </row>
    <row r="38" spans="1:10" x14ac:dyDescent="0.35">
      <c r="A38" s="15"/>
      <c r="B38" s="68"/>
      <c r="C38" s="68"/>
      <c r="D38" s="68"/>
      <c r="E38" s="68"/>
      <c r="F38" s="68"/>
      <c r="G38" s="68"/>
      <c r="H38" s="68"/>
      <c r="I38" s="68"/>
      <c r="J38" s="68"/>
    </row>
    <row r="39" spans="1:10" x14ac:dyDescent="0.35">
      <c r="A39" s="15" t="s">
        <v>61</v>
      </c>
      <c r="B39" s="28"/>
      <c r="C39" s="28"/>
      <c r="D39" s="28"/>
      <c r="E39" s="28"/>
      <c r="F39" s="28"/>
      <c r="G39" s="28"/>
      <c r="H39" s="28"/>
      <c r="I39" s="28"/>
      <c r="J39" s="28"/>
    </row>
    <row r="40" spans="1:10" x14ac:dyDescent="0.35">
      <c r="A40" s="27" t="s">
        <v>62</v>
      </c>
      <c r="B40" s="12">
        <f>+$F10/B24</f>
        <v>3.8447781716618334</v>
      </c>
      <c r="C40" s="12">
        <f t="shared" ref="C40:D40" si="11">+$F10/C24</f>
        <v>3.6746447638603703</v>
      </c>
      <c r="D40" s="12">
        <f t="shared" si="11"/>
        <v>3.5106463952918103</v>
      </c>
      <c r="E40" s="12">
        <f>+$F10/E24</f>
        <v>12.265606579849214</v>
      </c>
      <c r="F40" s="12">
        <f t="shared" ref="F40:J40" si="12">+$F10/F24</f>
        <v>11.688778576094059</v>
      </c>
      <c r="G40" s="12">
        <f t="shared" si="12"/>
        <v>11.063690880989183</v>
      </c>
      <c r="H40" s="12">
        <f t="shared" si="12"/>
        <v>13.419962504686918</v>
      </c>
      <c r="I40" s="12">
        <f t="shared" si="12"/>
        <v>12.800801144492134</v>
      </c>
      <c r="J40" s="12">
        <f t="shared" si="12"/>
        <v>12.00236083165661</v>
      </c>
    </row>
    <row r="41" spans="1:10" x14ac:dyDescent="0.35">
      <c r="A41" s="27" t="s">
        <v>63</v>
      </c>
      <c r="B41" s="12">
        <f t="shared" ref="B41:J41" si="13">+$F11/B25</f>
        <v>3.9632178631051755</v>
      </c>
      <c r="C41" s="12">
        <f t="shared" si="13"/>
        <v>4.079566089073464</v>
      </c>
      <c r="D41" s="12">
        <f t="shared" si="13"/>
        <v>3.9342093633476041</v>
      </c>
      <c r="E41" s="12">
        <f t="shared" si="13"/>
        <v>14.047144970414202</v>
      </c>
      <c r="F41" s="12">
        <f t="shared" si="13"/>
        <v>14.344214501510574</v>
      </c>
      <c r="G41" s="12">
        <f t="shared" si="13"/>
        <v>13.591416984732824</v>
      </c>
      <c r="H41" s="12">
        <f t="shared" si="13"/>
        <v>15.756421460176991</v>
      </c>
      <c r="I41" s="12">
        <f t="shared" si="13"/>
        <v>15.968391255605381</v>
      </c>
      <c r="J41" s="12">
        <f t="shared" si="13"/>
        <v>14.891589127025615</v>
      </c>
    </row>
    <row r="42" spans="1:10" x14ac:dyDescent="0.35">
      <c r="A42" s="27" t="s">
        <v>64</v>
      </c>
      <c r="B42" s="12">
        <f t="shared" ref="B42:J42" si="14">+$F12/B26</f>
        <v>2.3996751467710369</v>
      </c>
      <c r="C42" s="12">
        <f t="shared" si="14"/>
        <v>2.2499706422018346</v>
      </c>
      <c r="D42" s="12">
        <f t="shared" si="14"/>
        <v>2.1550685413005271</v>
      </c>
      <c r="E42" s="12">
        <f t="shared" si="14"/>
        <v>9.6175215686274509</v>
      </c>
      <c r="F42" s="12">
        <f t="shared" si="14"/>
        <v>8.8536750902527075</v>
      </c>
      <c r="G42" s="12">
        <f t="shared" si="14"/>
        <v>8.4567862068965507</v>
      </c>
      <c r="H42" s="12">
        <f t="shared" si="14"/>
        <v>10.616744588744588</v>
      </c>
      <c r="I42" s="12">
        <f t="shared" si="14"/>
        <v>9.7707888446215136</v>
      </c>
      <c r="J42" s="12">
        <f t="shared" si="14"/>
        <v>9.2198045112781948</v>
      </c>
    </row>
    <row r="43" spans="1:10" x14ac:dyDescent="0.35">
      <c r="A43" s="27" t="s">
        <v>65</v>
      </c>
      <c r="B43" s="12">
        <f t="shared" ref="B43:J43" si="15">+$F13/B27</f>
        <v>2.9592904109589035</v>
      </c>
      <c r="C43" s="12">
        <f t="shared" si="15"/>
        <v>2.8350157480314957</v>
      </c>
      <c r="D43" s="12">
        <f t="shared" si="15"/>
        <v>2.6802506203473944</v>
      </c>
      <c r="E43" s="12">
        <f t="shared" si="15"/>
        <v>13.759757961783437</v>
      </c>
      <c r="F43" s="12">
        <f t="shared" si="15"/>
        <v>12.487179190751444</v>
      </c>
      <c r="G43" s="12">
        <f t="shared" si="15"/>
        <v>11.310376963350784</v>
      </c>
      <c r="H43" s="12">
        <f t="shared" si="15"/>
        <v>15.541597122302155</v>
      </c>
      <c r="I43" s="12">
        <f t="shared" si="15"/>
        <v>13.847961538461536</v>
      </c>
      <c r="J43" s="12">
        <f t="shared" si="15"/>
        <v>12.344468571428569</v>
      </c>
    </row>
    <row r="44" spans="1:10" x14ac:dyDescent="0.35">
      <c r="A44" s="35" t="s">
        <v>67</v>
      </c>
      <c r="B44" s="68">
        <f>AVERAGE(B40:B43)</f>
        <v>3.2917403981242375</v>
      </c>
      <c r="C44" s="68">
        <f t="shared" ref="C44:J44" si="16">AVERAGE(C40:C43)</f>
        <v>3.2097993107917908</v>
      </c>
      <c r="D44" s="68">
        <f t="shared" si="16"/>
        <v>3.0700437300718342</v>
      </c>
      <c r="E44" s="68">
        <f t="shared" si="16"/>
        <v>12.422507770168576</v>
      </c>
      <c r="F44" s="68">
        <f t="shared" si="16"/>
        <v>11.843461839652196</v>
      </c>
      <c r="G44" s="68">
        <f t="shared" si="16"/>
        <v>11.105567758992336</v>
      </c>
      <c r="H44" s="68">
        <f t="shared" si="16"/>
        <v>13.833681418977664</v>
      </c>
      <c r="I44" s="68">
        <f t="shared" si="16"/>
        <v>13.096985695795141</v>
      </c>
      <c r="J44" s="68">
        <f t="shared" si="16"/>
        <v>12.114555760347248</v>
      </c>
    </row>
    <row r="45" spans="1:10" x14ac:dyDescent="0.35">
      <c r="A45" s="35" t="s">
        <v>140</v>
      </c>
      <c r="B45" s="68">
        <f>MEDIAN(B40:B43)</f>
        <v>3.4020342913103683</v>
      </c>
      <c r="C45" s="68">
        <f t="shared" ref="C45:J45" si="17">MEDIAN(C40:C43)</f>
        <v>3.254830255945933</v>
      </c>
      <c r="D45" s="68">
        <f t="shared" si="17"/>
        <v>3.0954485078196026</v>
      </c>
      <c r="E45" s="68">
        <f t="shared" si="17"/>
        <v>13.012682270816326</v>
      </c>
      <c r="F45" s="68">
        <f t="shared" si="17"/>
        <v>12.087978883422752</v>
      </c>
      <c r="G45" s="68">
        <f t="shared" si="17"/>
        <v>11.187033922169984</v>
      </c>
      <c r="H45" s="68">
        <f t="shared" si="17"/>
        <v>14.480779813494536</v>
      </c>
      <c r="I45" s="68">
        <f t="shared" si="17"/>
        <v>13.324381341476835</v>
      </c>
      <c r="J45" s="68">
        <f t="shared" si="17"/>
        <v>12.17341470154259</v>
      </c>
    </row>
    <row r="46" spans="1:10" x14ac:dyDescent="0.35">
      <c r="A46" s="35"/>
      <c r="B46" s="68"/>
      <c r="C46" s="68"/>
      <c r="D46" s="68"/>
      <c r="E46" s="68"/>
      <c r="F46" s="68"/>
      <c r="G46" s="68"/>
      <c r="H46" s="68"/>
      <c r="I46" s="68"/>
      <c r="J46" s="68"/>
    </row>
    <row r="47" spans="1:10" x14ac:dyDescent="0.35">
      <c r="A47" s="35" t="s">
        <v>138</v>
      </c>
      <c r="B47" s="68">
        <f>AVERAGE(B33:B35,B40:B43)</f>
        <v>3.1823348042842481</v>
      </c>
      <c r="C47" s="68">
        <f t="shared" ref="C47:J47" si="18">AVERAGE(C33:C35,C40:C43)</f>
        <v>3.036083282939952</v>
      </c>
      <c r="D47" s="68">
        <f t="shared" si="18"/>
        <v>2.8593479036577709</v>
      </c>
      <c r="E47" s="68">
        <f t="shared" si="18"/>
        <v>14.042919982070696</v>
      </c>
      <c r="F47" s="68">
        <f t="shared" si="18"/>
        <v>12.883350743106577</v>
      </c>
      <c r="G47" s="68">
        <f t="shared" si="18"/>
        <v>11.500583941227477</v>
      </c>
      <c r="H47" s="68">
        <f t="shared" si="18"/>
        <v>16.300832966603235</v>
      </c>
      <c r="I47" s="68">
        <f t="shared" si="18"/>
        <v>14.544836617986087</v>
      </c>
      <c r="J47" s="68">
        <f t="shared" si="18"/>
        <v>12.773496028519736</v>
      </c>
    </row>
    <row r="48" spans="1:10" x14ac:dyDescent="0.35">
      <c r="A48" s="35" t="s">
        <v>147</v>
      </c>
      <c r="B48" s="68">
        <f>MEDIAN(B33:B35,B40:B43)</f>
        <v>2.9592904109589035</v>
      </c>
      <c r="C48" s="68">
        <f t="shared" ref="C48:J48" si="19">MEDIAN(C33:C35,C40:C43)</f>
        <v>2.8350157480314957</v>
      </c>
      <c r="D48" s="68">
        <f t="shared" si="19"/>
        <v>2.6802506203473944</v>
      </c>
      <c r="E48" s="68">
        <f t="shared" si="19"/>
        <v>14.047144970414202</v>
      </c>
      <c r="F48" s="68">
        <f t="shared" si="19"/>
        <v>12.613859649122807</v>
      </c>
      <c r="G48" s="68">
        <f t="shared" si="19"/>
        <v>11.310376963350784</v>
      </c>
      <c r="H48" s="68">
        <f t="shared" si="19"/>
        <v>15.756421460176991</v>
      </c>
      <c r="I48" s="68">
        <f t="shared" si="19"/>
        <v>15.297659574468085</v>
      </c>
      <c r="J48" s="68">
        <f t="shared" si="19"/>
        <v>13.072545454545455</v>
      </c>
    </row>
    <row r="49" spans="1:13" x14ac:dyDescent="0.35">
      <c r="A49" s="22"/>
      <c r="B49" s="26"/>
      <c r="C49" s="26"/>
      <c r="D49" s="26"/>
      <c r="E49" s="26"/>
      <c r="F49" s="26"/>
      <c r="G49" s="26"/>
      <c r="H49" s="26"/>
      <c r="I49" s="26"/>
      <c r="J49" s="26"/>
    </row>
    <row r="50" spans="1:13" x14ac:dyDescent="0.35">
      <c r="A50" s="23" t="s">
        <v>150</v>
      </c>
    </row>
    <row r="51" spans="1:13" x14ac:dyDescent="0.35">
      <c r="A51" s="9"/>
      <c r="B51" s="106" t="s">
        <v>49</v>
      </c>
      <c r="C51" s="106"/>
      <c r="D51" s="106"/>
      <c r="E51" s="106" t="s">
        <v>50</v>
      </c>
      <c r="F51" s="106"/>
      <c r="G51" s="106"/>
      <c r="H51" s="106" t="s">
        <v>51</v>
      </c>
      <c r="I51" s="106"/>
      <c r="J51" s="106"/>
      <c r="K51" s="8"/>
      <c r="L51" s="8"/>
      <c r="M51" s="8"/>
    </row>
    <row r="52" spans="1:13" x14ac:dyDescent="0.35">
      <c r="A52" s="9"/>
      <c r="B52" s="25" t="s">
        <v>1</v>
      </c>
      <c r="C52" s="25" t="s">
        <v>2</v>
      </c>
      <c r="D52" s="25" t="s">
        <v>17</v>
      </c>
      <c r="E52" s="25" t="s">
        <v>1</v>
      </c>
      <c r="F52" s="25" t="s">
        <v>2</v>
      </c>
      <c r="G52" s="25" t="s">
        <v>17</v>
      </c>
      <c r="H52" s="25" t="s">
        <v>1</v>
      </c>
      <c r="I52" s="25" t="s">
        <v>2</v>
      </c>
      <c r="J52" s="25" t="s">
        <v>17</v>
      </c>
    </row>
    <row r="53" spans="1:13" x14ac:dyDescent="0.35">
      <c r="A53" s="15" t="s">
        <v>55</v>
      </c>
      <c r="B53" s="31">
        <f>+CashFlow!B3</f>
        <v>65</v>
      </c>
      <c r="C53" s="31">
        <f>+CashFlow!C3</f>
        <v>66.3</v>
      </c>
      <c r="D53" s="31">
        <f>+CashFlow!D3</f>
        <v>70.400000000000006</v>
      </c>
      <c r="E53" s="31">
        <f>+CashFlow!B6</f>
        <v>15.3</v>
      </c>
      <c r="F53" s="31">
        <f>+CashFlow!C6</f>
        <v>16.600000000000001</v>
      </c>
      <c r="G53" s="31">
        <f>+CashFlow!D6</f>
        <v>18.100000000000001</v>
      </c>
      <c r="H53" s="31">
        <f>+CashFlow!B11</f>
        <v>11.5</v>
      </c>
      <c r="I53" s="31">
        <f>+CashFlow!C11</f>
        <v>13.100000000000001</v>
      </c>
      <c r="J53" s="31">
        <f>+CashFlow!D11</f>
        <v>14.100000000000001</v>
      </c>
    </row>
    <row r="54" spans="1:13" x14ac:dyDescent="0.35">
      <c r="A54" s="9" t="s">
        <v>68</v>
      </c>
      <c r="B54" s="9"/>
      <c r="C54" s="9"/>
      <c r="D54" s="9"/>
      <c r="E54" s="9"/>
      <c r="F54" s="9"/>
      <c r="G54" s="9"/>
      <c r="H54" s="9"/>
      <c r="I54" s="9"/>
      <c r="J54" s="9"/>
    </row>
    <row r="55" spans="1:13" x14ac:dyDescent="0.35">
      <c r="A55" s="13" t="s">
        <v>41</v>
      </c>
      <c r="B55" s="10">
        <f>+B$53*B33</f>
        <v>248.38993710691824</v>
      </c>
      <c r="C55" s="10">
        <f t="shared" ref="C55:J55" si="20">+C$53*C33</f>
        <v>236.964</v>
      </c>
      <c r="D55" s="10">
        <f t="shared" si="20"/>
        <v>235.02769230769235</v>
      </c>
      <c r="E55" s="10">
        <f t="shared" si="20"/>
        <v>281.70545454545459</v>
      </c>
      <c r="F55" s="10">
        <f t="shared" si="20"/>
        <v>265.42526315789479</v>
      </c>
      <c r="G55" s="10">
        <f t="shared" si="20"/>
        <v>244.39022222222223</v>
      </c>
      <c r="H55" s="10">
        <f t="shared" si="20"/>
        <v>240.94482758620688</v>
      </c>
      <c r="I55" s="10">
        <f t="shared" si="20"/>
        <v>221.09888888888895</v>
      </c>
      <c r="J55" s="10">
        <f t="shared" si="20"/>
        <v>203.98000000000002</v>
      </c>
    </row>
    <row r="56" spans="1:13" x14ac:dyDescent="0.35">
      <c r="A56" s="13" t="s">
        <v>42</v>
      </c>
      <c r="B56" s="10">
        <f t="shared" ref="B56:J56" si="21">+B$53*B34</f>
        <v>173.09018518518519</v>
      </c>
      <c r="C56" s="10">
        <f t="shared" si="21"/>
        <v>152.29724281150158</v>
      </c>
      <c r="D56" s="10">
        <f t="shared" si="21"/>
        <v>143.3906402266289</v>
      </c>
      <c r="E56" s="10">
        <f t="shared" si="21"/>
        <v>215.697</v>
      </c>
      <c r="F56" s="10">
        <f t="shared" si="21"/>
        <v>209.39007017543861</v>
      </c>
      <c r="G56" s="10">
        <f t="shared" si="21"/>
        <v>197.17756060606064</v>
      </c>
      <c r="H56" s="10">
        <f t="shared" si="21"/>
        <v>196.86630952380952</v>
      </c>
      <c r="I56" s="10">
        <f t="shared" si="21"/>
        <v>200.39934042553193</v>
      </c>
      <c r="J56" s="10">
        <f t="shared" si="21"/>
        <v>184.32289090909094</v>
      </c>
    </row>
    <row r="57" spans="1:13" x14ac:dyDescent="0.35">
      <c r="A57" s="13" t="s">
        <v>43</v>
      </c>
      <c r="B57" s="10">
        <f t="shared" ref="B57:J57" si="22">+B$53*B35</f>
        <v>170.62971014492751</v>
      </c>
      <c r="C57" s="10">
        <f t="shared" si="22"/>
        <v>168.54623157894736</v>
      </c>
      <c r="D57" s="10">
        <f t="shared" si="22"/>
        <v>166.14400000000001</v>
      </c>
      <c r="E57" s="10">
        <f t="shared" si="22"/>
        <v>246.33680000000001</v>
      </c>
      <c r="F57" s="10">
        <f t="shared" si="22"/>
        <v>235.8241568627451</v>
      </c>
      <c r="G57" s="10">
        <f t="shared" si="22"/>
        <v>211.51309677419357</v>
      </c>
      <c r="H57" s="10">
        <f t="shared" si="22"/>
        <v>238.05657142857143</v>
      </c>
      <c r="I57" s="10">
        <f t="shared" si="22"/>
        <v>225.9812380952381</v>
      </c>
      <c r="J57" s="10">
        <f t="shared" si="22"/>
        <v>189.18022222222226</v>
      </c>
    </row>
    <row r="58" spans="1:13" x14ac:dyDescent="0.35">
      <c r="A58" s="34" t="s">
        <v>57</v>
      </c>
      <c r="B58" s="31">
        <f t="shared" ref="B58:J58" si="23">AVERAGE(B55:B57)</f>
        <v>197.36994414567698</v>
      </c>
      <c r="C58" s="31">
        <f t="shared" si="23"/>
        <v>185.93582479681632</v>
      </c>
      <c r="D58" s="31">
        <f t="shared" si="23"/>
        <v>181.52077751144043</v>
      </c>
      <c r="E58" s="31">
        <f t="shared" si="23"/>
        <v>247.91308484848489</v>
      </c>
      <c r="F58" s="31">
        <f t="shared" si="23"/>
        <v>236.87983006535947</v>
      </c>
      <c r="G58" s="31">
        <f t="shared" si="23"/>
        <v>217.69362653415882</v>
      </c>
      <c r="H58" s="31">
        <f t="shared" si="23"/>
        <v>225.28923617952924</v>
      </c>
      <c r="I58" s="31">
        <f t="shared" si="23"/>
        <v>215.82648913655302</v>
      </c>
      <c r="J58" s="31">
        <f t="shared" si="23"/>
        <v>192.49437104377105</v>
      </c>
    </row>
    <row r="59" spans="1:13" x14ac:dyDescent="0.35">
      <c r="A59" s="9" t="s">
        <v>68</v>
      </c>
      <c r="B59" s="32"/>
      <c r="C59" s="32"/>
      <c r="D59" s="32"/>
      <c r="E59" s="32"/>
      <c r="F59" s="32"/>
      <c r="G59" s="32"/>
      <c r="H59" s="32"/>
      <c r="I59" s="32"/>
      <c r="J59" s="32"/>
    </row>
    <row r="60" spans="1:13" x14ac:dyDescent="0.35">
      <c r="A60" s="27" t="s">
        <v>62</v>
      </c>
      <c r="B60" s="10">
        <f t="shared" ref="B60:J60" si="24">+B$53*B40</f>
        <v>249.91058115801917</v>
      </c>
      <c r="C60" s="10">
        <f t="shared" si="24"/>
        <v>243.62894784394254</v>
      </c>
      <c r="D60" s="10">
        <f t="shared" si="24"/>
        <v>247.14950622854346</v>
      </c>
      <c r="E60" s="10">
        <f t="shared" si="24"/>
        <v>187.66378067169299</v>
      </c>
      <c r="F60" s="10">
        <f t="shared" si="24"/>
        <v>194.03372436316138</v>
      </c>
      <c r="G60" s="10">
        <f t="shared" si="24"/>
        <v>200.25280494590424</v>
      </c>
      <c r="H60" s="10">
        <f t="shared" si="24"/>
        <v>154.32956880389955</v>
      </c>
      <c r="I60" s="10">
        <f t="shared" si="24"/>
        <v>167.69049499284696</v>
      </c>
      <c r="J60" s="10">
        <f t="shared" si="24"/>
        <v>169.23328772635821</v>
      </c>
    </row>
    <row r="61" spans="1:13" x14ac:dyDescent="0.35">
      <c r="A61" s="27" t="s">
        <v>63</v>
      </c>
      <c r="B61" s="10">
        <f>+B$53*B41</f>
        <v>257.60916110183643</v>
      </c>
      <c r="C61" s="10">
        <f t="shared" ref="C61:J61" si="25">+C$53*C41</f>
        <v>270.47523170557065</v>
      </c>
      <c r="D61" s="10">
        <f t="shared" si="25"/>
        <v>276.96833917967137</v>
      </c>
      <c r="E61" s="10">
        <f t="shared" si="25"/>
        <v>214.92131804733731</v>
      </c>
      <c r="F61" s="10">
        <f t="shared" si="25"/>
        <v>238.11396072507554</v>
      </c>
      <c r="G61" s="10">
        <f t="shared" si="25"/>
        <v>246.00464742366412</v>
      </c>
      <c r="H61" s="10">
        <f t="shared" si="25"/>
        <v>181.1988467920354</v>
      </c>
      <c r="I61" s="10">
        <f t="shared" si="25"/>
        <v>209.18592544843051</v>
      </c>
      <c r="J61" s="10">
        <f t="shared" si="25"/>
        <v>209.97140669106119</v>
      </c>
    </row>
    <row r="62" spans="1:13" x14ac:dyDescent="0.35">
      <c r="A62" s="27" t="s">
        <v>64</v>
      </c>
      <c r="B62" s="10">
        <f t="shared" ref="B62:J62" si="26">+B$53*B42</f>
        <v>155.97888454011741</v>
      </c>
      <c r="C62" s="10">
        <f t="shared" si="26"/>
        <v>149.17305357798162</v>
      </c>
      <c r="D62" s="10">
        <f t="shared" si="26"/>
        <v>151.71682530755712</v>
      </c>
      <c r="E62" s="10">
        <f t="shared" si="26"/>
        <v>147.14807999999999</v>
      </c>
      <c r="F62" s="10">
        <f t="shared" si="26"/>
        <v>146.97100649819495</v>
      </c>
      <c r="G62" s="10">
        <f t="shared" si="26"/>
        <v>153.06783034482757</v>
      </c>
      <c r="H62" s="10">
        <f t="shared" si="26"/>
        <v>122.09256277056276</v>
      </c>
      <c r="I62" s="10">
        <f t="shared" si="26"/>
        <v>127.99733386454184</v>
      </c>
      <c r="J62" s="10">
        <f t="shared" si="26"/>
        <v>129.99924360902256</v>
      </c>
    </row>
    <row r="63" spans="1:13" x14ac:dyDescent="0.35">
      <c r="A63" s="27" t="s">
        <v>65</v>
      </c>
      <c r="B63" s="10">
        <f t="shared" ref="B63:J63" si="27">+B$53*B43</f>
        <v>192.35387671232874</v>
      </c>
      <c r="C63" s="10">
        <f t="shared" si="27"/>
        <v>187.96154409448815</v>
      </c>
      <c r="D63" s="10">
        <f t="shared" si="27"/>
        <v>188.68964367245658</v>
      </c>
      <c r="E63" s="10">
        <f t="shared" si="27"/>
        <v>210.52429681528659</v>
      </c>
      <c r="F63" s="10">
        <f t="shared" si="27"/>
        <v>207.28717456647399</v>
      </c>
      <c r="G63" s="10">
        <f t="shared" si="27"/>
        <v>204.71782303664921</v>
      </c>
      <c r="H63" s="10">
        <f t="shared" si="27"/>
        <v>178.72836690647478</v>
      </c>
      <c r="I63" s="10">
        <f t="shared" si="27"/>
        <v>181.40829615384615</v>
      </c>
      <c r="J63" s="10">
        <f t="shared" si="27"/>
        <v>174.05700685714285</v>
      </c>
    </row>
    <row r="64" spans="1:13" x14ac:dyDescent="0.35">
      <c r="A64" s="35" t="s">
        <v>67</v>
      </c>
      <c r="B64" s="31">
        <f t="shared" ref="B64:J64" si="28">AVERAGE(B60:B63)</f>
        <v>213.96312587807543</v>
      </c>
      <c r="C64" s="31">
        <f t="shared" si="28"/>
        <v>212.80969430549573</v>
      </c>
      <c r="D64" s="31">
        <f t="shared" si="28"/>
        <v>216.13107859705713</v>
      </c>
      <c r="E64" s="31">
        <f t="shared" si="28"/>
        <v>190.06436888357922</v>
      </c>
      <c r="F64" s="31">
        <f t="shared" si="28"/>
        <v>196.60146653822648</v>
      </c>
      <c r="G64" s="31">
        <f t="shared" si="28"/>
        <v>201.01077643776128</v>
      </c>
      <c r="H64" s="31">
        <f t="shared" si="28"/>
        <v>159.0873363182431</v>
      </c>
      <c r="I64" s="31">
        <f t="shared" si="28"/>
        <v>171.57051261491637</v>
      </c>
      <c r="J64" s="31">
        <f t="shared" si="28"/>
        <v>170.8152362208962</v>
      </c>
    </row>
    <row r="65" spans="1:10" x14ac:dyDescent="0.35">
      <c r="A65" s="27" t="s">
        <v>60</v>
      </c>
      <c r="B65" s="10">
        <f>MAX(B55:B57,B60:B63)</f>
        <v>257.60916110183643</v>
      </c>
      <c r="C65" s="10">
        <f t="shared" ref="C65:J65" si="29">MAX(C55:C57,C60:C63)</f>
        <v>270.47523170557065</v>
      </c>
      <c r="D65" s="10">
        <f t="shared" si="29"/>
        <v>276.96833917967137</v>
      </c>
      <c r="E65" s="10">
        <f t="shared" si="29"/>
        <v>281.70545454545459</v>
      </c>
      <c r="F65" s="10">
        <f t="shared" si="29"/>
        <v>265.42526315789479</v>
      </c>
      <c r="G65" s="10">
        <f t="shared" si="29"/>
        <v>246.00464742366412</v>
      </c>
      <c r="H65" s="10">
        <f t="shared" si="29"/>
        <v>240.94482758620688</v>
      </c>
      <c r="I65" s="10">
        <f t="shared" si="29"/>
        <v>225.9812380952381</v>
      </c>
      <c r="J65" s="10">
        <f t="shared" si="29"/>
        <v>209.97140669106119</v>
      </c>
    </row>
    <row r="66" spans="1:10" x14ac:dyDescent="0.35">
      <c r="A66" s="13" t="s">
        <v>59</v>
      </c>
      <c r="B66" s="10">
        <f>MIN(B55:B57,B60:B63)</f>
        <v>155.97888454011741</v>
      </c>
      <c r="C66" s="10">
        <f t="shared" ref="C66:J66" si="30">MIN(C55:C57,C60:C63)</f>
        <v>149.17305357798162</v>
      </c>
      <c r="D66" s="10">
        <f t="shared" si="30"/>
        <v>143.3906402266289</v>
      </c>
      <c r="E66" s="10">
        <f t="shared" si="30"/>
        <v>147.14807999999999</v>
      </c>
      <c r="F66" s="10">
        <f t="shared" si="30"/>
        <v>146.97100649819495</v>
      </c>
      <c r="G66" s="10">
        <f t="shared" si="30"/>
        <v>153.06783034482757</v>
      </c>
      <c r="H66" s="10">
        <f t="shared" si="30"/>
        <v>122.09256277056276</v>
      </c>
      <c r="I66" s="10">
        <f t="shared" si="30"/>
        <v>127.99733386454184</v>
      </c>
      <c r="J66" s="10">
        <f t="shared" si="30"/>
        <v>129.99924360902256</v>
      </c>
    </row>
    <row r="67" spans="1:10" x14ac:dyDescent="0.35">
      <c r="A67" s="13" t="s">
        <v>69</v>
      </c>
      <c r="B67" s="10">
        <f>AVERAGE(B$55:B$57,B$60:B$63)</f>
        <v>206.85176227847609</v>
      </c>
      <c r="C67" s="10">
        <f t="shared" ref="C67:J67" si="31">AVERAGE(C55:C57,C60:C63)</f>
        <v>201.29232165891884</v>
      </c>
      <c r="D67" s="10">
        <f t="shared" si="31"/>
        <v>201.29809241750715</v>
      </c>
      <c r="E67" s="10">
        <f t="shared" si="31"/>
        <v>214.85667572568164</v>
      </c>
      <c r="F67" s="10">
        <f t="shared" si="31"/>
        <v>213.8636223355692</v>
      </c>
      <c r="G67" s="10">
        <f t="shared" si="31"/>
        <v>208.16056933621738</v>
      </c>
      <c r="H67" s="10">
        <f t="shared" si="31"/>
        <v>187.45957911593717</v>
      </c>
      <c r="I67" s="10">
        <f t="shared" si="31"/>
        <v>190.53735969561779</v>
      </c>
      <c r="J67" s="10">
        <f t="shared" si="31"/>
        <v>180.10629400212829</v>
      </c>
    </row>
    <row r="68" spans="1:10" x14ac:dyDescent="0.35">
      <c r="A68" s="13" t="s">
        <v>70</v>
      </c>
      <c r="B68" s="10">
        <f t="shared" ref="B68:J68" si="32">MEDIAN(B55:B57,B60:B63)</f>
        <v>192.35387671232874</v>
      </c>
      <c r="C68" s="10">
        <f t="shared" si="32"/>
        <v>187.96154409448815</v>
      </c>
      <c r="D68" s="10">
        <f t="shared" si="32"/>
        <v>188.68964367245658</v>
      </c>
      <c r="E68" s="10">
        <f t="shared" si="32"/>
        <v>214.92131804733731</v>
      </c>
      <c r="F68" s="10">
        <f t="shared" si="32"/>
        <v>209.39007017543861</v>
      </c>
      <c r="G68" s="10">
        <f t="shared" si="32"/>
        <v>204.71782303664921</v>
      </c>
      <c r="H68" s="10">
        <f t="shared" si="32"/>
        <v>181.1988467920354</v>
      </c>
      <c r="I68" s="10">
        <f t="shared" si="32"/>
        <v>200.39934042553193</v>
      </c>
      <c r="J68" s="10">
        <f t="shared" si="32"/>
        <v>184.32289090909094</v>
      </c>
    </row>
    <row r="69" spans="1:10" x14ac:dyDescent="0.35">
      <c r="A69" s="13" t="s">
        <v>148</v>
      </c>
      <c r="B69" s="41">
        <f>+(B67-B68)/B67</f>
        <v>7.0088286444615511E-2</v>
      </c>
      <c r="C69" s="41">
        <f t="shared" ref="C69:J69" si="33">+(C67-C68)/C67</f>
        <v>6.6225961599365515E-2</v>
      </c>
      <c r="D69" s="41">
        <f t="shared" si="33"/>
        <v>6.2635709030464684E-2</v>
      </c>
      <c r="E69" s="41">
        <f t="shared" si="33"/>
        <v>-3.0086252352801233E-4</v>
      </c>
      <c r="F69" s="41">
        <f t="shared" si="33"/>
        <v>2.0917779804137199E-2</v>
      </c>
      <c r="G69" s="41">
        <f t="shared" si="33"/>
        <v>1.6538897402838603E-2</v>
      </c>
      <c r="H69" s="41">
        <f t="shared" si="33"/>
        <v>3.339777222069689E-2</v>
      </c>
      <c r="I69" s="41">
        <f t="shared" si="33"/>
        <v>-5.1758777101081843E-2</v>
      </c>
      <c r="J69" s="41">
        <f t="shared" si="33"/>
        <v>-2.3411713234812455E-2</v>
      </c>
    </row>
    <row r="70" spans="1:10" x14ac:dyDescent="0.35">
      <c r="A70" s="30"/>
      <c r="B70" s="56"/>
      <c r="C70" s="56"/>
      <c r="D70" s="56"/>
      <c r="E70" s="56"/>
      <c r="F70" s="56"/>
      <c r="G70" s="56"/>
      <c r="H70" s="56"/>
      <c r="I70" s="56"/>
      <c r="J70" s="56"/>
    </row>
    <row r="71" spans="1:10" x14ac:dyDescent="0.35">
      <c r="A71" s="23" t="s">
        <v>72</v>
      </c>
    </row>
    <row r="72" spans="1:10" x14ac:dyDescent="0.35">
      <c r="A72" s="35" t="s">
        <v>87</v>
      </c>
      <c r="B72" s="10">
        <v>190</v>
      </c>
      <c r="C72" s="10">
        <v>205</v>
      </c>
      <c r="D72" t="s">
        <v>88</v>
      </c>
    </row>
    <row r="73" spans="1:10" x14ac:dyDescent="0.35">
      <c r="A73" s="35" t="s">
        <v>87</v>
      </c>
      <c r="B73" s="10">
        <v>205</v>
      </c>
      <c r="C73" s="10">
        <v>215</v>
      </c>
      <c r="D73" t="s">
        <v>89</v>
      </c>
    </row>
    <row r="74" spans="1:10" x14ac:dyDescent="0.35">
      <c r="A74" s="35" t="s">
        <v>87</v>
      </c>
      <c r="B74" s="10">
        <v>180</v>
      </c>
      <c r="C74" s="10">
        <v>200</v>
      </c>
      <c r="D74" t="s">
        <v>90</v>
      </c>
    </row>
    <row r="75" spans="1:10" x14ac:dyDescent="0.35">
      <c r="A75" s="35" t="s">
        <v>91</v>
      </c>
      <c r="B75" s="31">
        <v>190</v>
      </c>
      <c r="C75" s="31">
        <v>215</v>
      </c>
    </row>
    <row r="76" spans="1:10" x14ac:dyDescent="0.35">
      <c r="A76" s="23"/>
    </row>
    <row r="77" spans="1:10" x14ac:dyDescent="0.35">
      <c r="A77" s="14" t="s">
        <v>58</v>
      </c>
      <c r="B77" s="10">
        <f>+NAV!B23</f>
        <v>28</v>
      </c>
      <c r="C77" s="10">
        <f>+B77</f>
        <v>28</v>
      </c>
    </row>
    <row r="78" spans="1:10" x14ac:dyDescent="0.35">
      <c r="A78" s="14" t="s">
        <v>15</v>
      </c>
      <c r="B78" s="10">
        <v>3</v>
      </c>
      <c r="C78" s="10">
        <f t="shared" ref="C78" si="34">+B78</f>
        <v>3</v>
      </c>
    </row>
    <row r="79" spans="1:10" x14ac:dyDescent="0.35">
      <c r="A79" s="36" t="s">
        <v>71</v>
      </c>
      <c r="B79" s="31">
        <f>+B77-B78</f>
        <v>25</v>
      </c>
      <c r="C79" s="31">
        <f t="shared" ref="C79" si="35">+B79</f>
        <v>25</v>
      </c>
    </row>
    <row r="80" spans="1:10" x14ac:dyDescent="0.35">
      <c r="A80" s="35" t="s">
        <v>92</v>
      </c>
      <c r="B80" s="31">
        <f>+B75-B79</f>
        <v>165</v>
      </c>
      <c r="C80" s="31">
        <f>+C75-C79</f>
        <v>190</v>
      </c>
      <c r="D80" s="70"/>
    </row>
    <row r="81" spans="1:3" x14ac:dyDescent="0.35">
      <c r="A81" s="23" t="s">
        <v>201</v>
      </c>
      <c r="B81" s="114">
        <f>(B80+C80)/2</f>
        <v>177.5</v>
      </c>
      <c r="C81" s="114"/>
    </row>
  </sheetData>
  <mergeCells count="12">
    <mergeCell ref="B81:C81"/>
    <mergeCell ref="A16:A17"/>
    <mergeCell ref="A30:A31"/>
    <mergeCell ref="B51:D51"/>
    <mergeCell ref="E51:G51"/>
    <mergeCell ref="H51:J51"/>
    <mergeCell ref="B16:D16"/>
    <mergeCell ref="E16:G16"/>
    <mergeCell ref="H16:J16"/>
    <mergeCell ref="B30:D30"/>
    <mergeCell ref="E30:G30"/>
    <mergeCell ref="H30:J3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A4" sqref="A4"/>
    </sheetView>
  </sheetViews>
  <sheetFormatPr defaultRowHeight="14.5" x14ac:dyDescent="0.35"/>
  <cols>
    <col min="1" max="1" width="31.81640625" bestFit="1" customWidth="1"/>
  </cols>
  <sheetData>
    <row r="1" spans="1:11" x14ac:dyDescent="0.35">
      <c r="A1" t="s">
        <v>126</v>
      </c>
    </row>
    <row r="2" spans="1:11" x14ac:dyDescent="0.35">
      <c r="A2" s="60"/>
      <c r="B2" s="61" t="s">
        <v>1</v>
      </c>
      <c r="C2" s="61" t="s">
        <v>2</v>
      </c>
      <c r="D2" s="61" t="s">
        <v>17</v>
      </c>
      <c r="E2" s="61" t="s">
        <v>18</v>
      </c>
      <c r="F2" s="61" t="s">
        <v>19</v>
      </c>
      <c r="G2" s="61" t="s">
        <v>20</v>
      </c>
      <c r="H2" s="61" t="s">
        <v>21</v>
      </c>
      <c r="I2" s="61" t="s">
        <v>22</v>
      </c>
      <c r="J2" s="43"/>
      <c r="K2" s="43"/>
    </row>
    <row r="3" spans="1:11" x14ac:dyDescent="0.35">
      <c r="A3" s="15" t="s">
        <v>125</v>
      </c>
      <c r="B3" s="59"/>
      <c r="C3" s="59"/>
      <c r="D3" s="59"/>
      <c r="E3" s="59"/>
      <c r="F3" s="59"/>
      <c r="G3" s="59"/>
      <c r="H3" s="59"/>
      <c r="I3" s="59"/>
      <c r="J3" s="43"/>
      <c r="K3" s="43"/>
    </row>
    <row r="4" spans="1:11" x14ac:dyDescent="0.35">
      <c r="A4" s="9" t="s">
        <v>120</v>
      </c>
      <c r="B4" s="9"/>
      <c r="C4" s="10"/>
      <c r="D4" s="10">
        <f>+C4+0.5</f>
        <v>0.5</v>
      </c>
      <c r="E4" s="10">
        <f t="shared" ref="E4:H4" si="0">+D4+0.5</f>
        <v>1</v>
      </c>
      <c r="F4" s="10">
        <f t="shared" si="0"/>
        <v>1.5</v>
      </c>
      <c r="G4" s="10">
        <f t="shared" si="0"/>
        <v>2</v>
      </c>
      <c r="H4" s="10">
        <f t="shared" si="0"/>
        <v>2.5</v>
      </c>
      <c r="I4" s="46">
        <f>+H4</f>
        <v>2.5</v>
      </c>
      <c r="J4" s="43"/>
      <c r="K4" s="43"/>
    </row>
    <row r="5" spans="1:11" x14ac:dyDescent="0.35">
      <c r="A5" s="9" t="s">
        <v>121</v>
      </c>
      <c r="B5" s="9"/>
      <c r="C5" s="10">
        <v>0.2</v>
      </c>
      <c r="D5" s="64">
        <f>+C5</f>
        <v>0.2</v>
      </c>
      <c r="E5" s="64">
        <f t="shared" ref="E5:I5" si="1">+D5</f>
        <v>0.2</v>
      </c>
      <c r="F5" s="64">
        <f t="shared" si="1"/>
        <v>0.2</v>
      </c>
      <c r="G5" s="64">
        <f t="shared" si="1"/>
        <v>0.2</v>
      </c>
      <c r="H5" s="64">
        <f t="shared" si="1"/>
        <v>0.2</v>
      </c>
      <c r="I5" s="64">
        <f t="shared" si="1"/>
        <v>0.2</v>
      </c>
      <c r="J5" s="43"/>
      <c r="K5" s="43"/>
    </row>
    <row r="6" spans="1:11" x14ac:dyDescent="0.35">
      <c r="A6" s="9" t="s">
        <v>122</v>
      </c>
      <c r="B6" s="9"/>
      <c r="C6" s="10"/>
      <c r="D6" s="10">
        <f>+C6+1</f>
        <v>1</v>
      </c>
      <c r="E6" s="10">
        <f t="shared" ref="E6:H6" si="2">+D6+1</f>
        <v>2</v>
      </c>
      <c r="F6" s="10">
        <f t="shared" si="2"/>
        <v>3</v>
      </c>
      <c r="G6" s="10">
        <f t="shared" si="2"/>
        <v>4</v>
      </c>
      <c r="H6" s="10">
        <f t="shared" si="2"/>
        <v>5</v>
      </c>
      <c r="I6" s="10">
        <f>+H6</f>
        <v>5</v>
      </c>
      <c r="J6" s="43"/>
      <c r="K6" s="43"/>
    </row>
    <row r="7" spans="1:11" x14ac:dyDescent="0.35">
      <c r="A7" s="51" t="s">
        <v>127</v>
      </c>
      <c r="B7" s="9"/>
      <c r="C7" s="10">
        <f>+C4-C5+C6</f>
        <v>-0.2</v>
      </c>
      <c r="D7" s="10">
        <f t="shared" ref="D7:I7" si="3">+D4-D5+D6</f>
        <v>1.3</v>
      </c>
      <c r="E7" s="10">
        <f t="shared" si="3"/>
        <v>2.8</v>
      </c>
      <c r="F7" s="10">
        <f t="shared" si="3"/>
        <v>4.3</v>
      </c>
      <c r="G7" s="10">
        <f t="shared" si="3"/>
        <v>5.8</v>
      </c>
      <c r="H7" s="10">
        <f t="shared" si="3"/>
        <v>7.3</v>
      </c>
      <c r="I7" s="10">
        <f t="shared" si="3"/>
        <v>7.3</v>
      </c>
      <c r="J7" s="43"/>
      <c r="K7" s="43"/>
    </row>
    <row r="8" spans="1:11" x14ac:dyDescent="0.35">
      <c r="A8" s="51"/>
      <c r="B8" s="9"/>
      <c r="C8" s="10"/>
      <c r="D8" s="10"/>
      <c r="E8" s="10"/>
      <c r="F8" s="10"/>
      <c r="G8" s="10"/>
      <c r="H8" s="10"/>
      <c r="I8" s="9"/>
      <c r="J8" s="43"/>
      <c r="K8" s="43"/>
    </row>
    <row r="9" spans="1:11" x14ac:dyDescent="0.35">
      <c r="A9" s="51" t="s">
        <v>123</v>
      </c>
      <c r="B9" s="9"/>
      <c r="C9" s="10">
        <v>3</v>
      </c>
      <c r="D9" s="10">
        <f>+C9+4</f>
        <v>7</v>
      </c>
      <c r="E9" s="10">
        <f>+D9+4.5</f>
        <v>11.5</v>
      </c>
      <c r="F9" s="10">
        <f>+E9+4.5</f>
        <v>16</v>
      </c>
      <c r="G9" s="10">
        <f t="shared" ref="G9:H9" si="4">+F9+4.5</f>
        <v>20.5</v>
      </c>
      <c r="H9" s="10">
        <f t="shared" si="4"/>
        <v>25</v>
      </c>
      <c r="I9" s="46">
        <f>+H9*(1+CashFlow!I4)</f>
        <v>25.624999999999996</v>
      </c>
      <c r="J9" s="43"/>
      <c r="K9" s="43"/>
    </row>
    <row r="10" spans="1:11" x14ac:dyDescent="0.35">
      <c r="A10" s="51" t="s">
        <v>124</v>
      </c>
      <c r="B10" s="41"/>
      <c r="C10" s="10">
        <v>0.7</v>
      </c>
      <c r="D10" s="10">
        <v>0.7</v>
      </c>
      <c r="E10" s="10">
        <v>0.7</v>
      </c>
      <c r="F10" s="10">
        <v>0.7</v>
      </c>
      <c r="G10" s="10">
        <v>0.7</v>
      </c>
      <c r="H10" s="10">
        <v>0.7</v>
      </c>
      <c r="I10" s="10">
        <v>0.7</v>
      </c>
      <c r="J10" s="43"/>
      <c r="K10" s="43"/>
    </row>
    <row r="11" spans="1:11" x14ac:dyDescent="0.35">
      <c r="A11" s="51" t="s">
        <v>128</v>
      </c>
      <c r="B11" s="41">
        <f>+CashFlow!B12</f>
        <v>0.17692307692307693</v>
      </c>
      <c r="C11" s="41">
        <f>+CashFlow!C12</f>
        <v>0.19758672699849172</v>
      </c>
      <c r="D11" s="41">
        <f>+CashFlow!D12</f>
        <v>0.20028409090909091</v>
      </c>
      <c r="E11" s="41">
        <f>+CashFlow!E12</f>
        <v>0.21456953642384111</v>
      </c>
      <c r="F11" s="41">
        <f>+CashFlow!F12</f>
        <v>0.23316708229426433</v>
      </c>
      <c r="G11" s="41">
        <f>+CashFlow!G12</f>
        <v>0.23854289071680373</v>
      </c>
      <c r="H11" s="41">
        <f>+CashFlow!H12</f>
        <v>0.25649717514124293</v>
      </c>
      <c r="I11" s="41">
        <f>+CashFlow!I12</f>
        <v>0.27385972164806394</v>
      </c>
      <c r="J11" s="43"/>
      <c r="K11" s="43"/>
    </row>
    <row r="12" spans="1:11" x14ac:dyDescent="0.35">
      <c r="A12" s="51" t="s">
        <v>129</v>
      </c>
      <c r="B12" s="9"/>
      <c r="C12" s="65">
        <f>+C9*C11-C10</f>
        <v>-0.10723981900452473</v>
      </c>
      <c r="D12" s="65">
        <f t="shared" ref="D12:I12" si="5">+D9*D11-D10</f>
        <v>0.70198863636363651</v>
      </c>
      <c r="E12" s="65">
        <f t="shared" si="5"/>
        <v>1.767549668874173</v>
      </c>
      <c r="F12" s="65">
        <f t="shared" si="5"/>
        <v>3.0306733167082296</v>
      </c>
      <c r="G12" s="65">
        <f t="shared" si="5"/>
        <v>4.1901292596944764</v>
      </c>
      <c r="H12" s="65">
        <f t="shared" si="5"/>
        <v>5.7124293785310734</v>
      </c>
      <c r="I12" s="65">
        <f t="shared" si="5"/>
        <v>6.3176553672316373</v>
      </c>
      <c r="J12" s="43"/>
      <c r="K12" s="43"/>
    </row>
    <row r="13" spans="1:11" x14ac:dyDescent="0.35">
      <c r="A13" s="9"/>
      <c r="B13" s="9"/>
      <c r="C13" s="9"/>
      <c r="D13" s="9"/>
      <c r="E13" s="9"/>
      <c r="F13" s="9"/>
      <c r="G13" s="9"/>
      <c r="H13" s="9"/>
      <c r="I13" s="9"/>
      <c r="J13" s="43"/>
      <c r="K13" s="43"/>
    </row>
    <row r="14" spans="1:11" x14ac:dyDescent="0.35">
      <c r="A14" s="9" t="s">
        <v>130</v>
      </c>
      <c r="B14" s="9"/>
      <c r="C14" s="65">
        <f>+C7+C12</f>
        <v>-0.30723981900452474</v>
      </c>
      <c r="D14" s="65">
        <f t="shared" ref="D14:I14" si="6">+D7+D12</f>
        <v>2.0019886363636363</v>
      </c>
      <c r="E14" s="65">
        <f t="shared" si="6"/>
        <v>4.5675496688741726</v>
      </c>
      <c r="F14" s="65">
        <f t="shared" si="6"/>
        <v>7.3306733167082294</v>
      </c>
      <c r="G14" s="65">
        <f t="shared" si="6"/>
        <v>9.9901292596944771</v>
      </c>
      <c r="H14" s="65">
        <f t="shared" si="6"/>
        <v>13.012429378531074</v>
      </c>
      <c r="I14" s="65">
        <f t="shared" si="6"/>
        <v>13.617655367231638</v>
      </c>
      <c r="J14" s="43"/>
      <c r="K14" s="43"/>
    </row>
    <row r="15" spans="1:11" x14ac:dyDescent="0.35">
      <c r="A15" s="51" t="s">
        <v>131</v>
      </c>
      <c r="B15" s="41">
        <f>+WACC!B33</f>
        <v>0.34399999999999997</v>
      </c>
      <c r="C15" s="65"/>
      <c r="D15" s="65"/>
      <c r="E15" s="65"/>
      <c r="F15" s="65"/>
      <c r="G15" s="65"/>
      <c r="H15" s="65"/>
      <c r="I15" s="46"/>
      <c r="J15" s="43"/>
      <c r="K15" s="43"/>
    </row>
    <row r="16" spans="1:11" x14ac:dyDescent="0.35">
      <c r="A16" s="51" t="s">
        <v>36</v>
      </c>
      <c r="B16" s="41"/>
      <c r="C16" s="65">
        <f>+C14*(1-$B$15)</f>
        <v>-0.20154932126696823</v>
      </c>
      <c r="D16" s="65">
        <f t="shared" ref="D16:I16" si="7">+D14*(1-$B$15)</f>
        <v>1.3133045454545456</v>
      </c>
      <c r="E16" s="65">
        <f t="shared" si="7"/>
        <v>2.9963125827814574</v>
      </c>
      <c r="F16" s="65">
        <f t="shared" si="7"/>
        <v>4.8089216957605991</v>
      </c>
      <c r="G16" s="66">
        <f t="shared" si="7"/>
        <v>6.5535247943595776</v>
      </c>
      <c r="H16" s="65">
        <f t="shared" si="7"/>
        <v>8.5361536723163844</v>
      </c>
      <c r="I16" s="67">
        <f t="shared" si="7"/>
        <v>8.9331819209039551</v>
      </c>
      <c r="J16" s="43"/>
      <c r="K16" s="43"/>
    </row>
    <row r="17" spans="1:11" x14ac:dyDescent="0.35">
      <c r="A17" s="62" t="s">
        <v>102</v>
      </c>
      <c r="B17" s="63">
        <f>+WACC!B30</f>
        <v>9.9330000000000002E-2</v>
      </c>
      <c r="C17" s="43"/>
      <c r="D17" s="43"/>
      <c r="E17" s="43"/>
      <c r="F17" s="43"/>
      <c r="G17" s="43"/>
      <c r="H17" s="9"/>
      <c r="I17" s="43"/>
      <c r="J17" s="43"/>
      <c r="K17" s="43"/>
    </row>
    <row r="18" spans="1:11" x14ac:dyDescent="0.35">
      <c r="A18" s="51" t="s">
        <v>22</v>
      </c>
      <c r="B18" s="52">
        <f>H18/(1+B17)^6</f>
        <v>68.088468697531283</v>
      </c>
      <c r="C18" s="43"/>
      <c r="D18" s="43"/>
      <c r="E18" s="43"/>
      <c r="F18" s="43"/>
      <c r="G18" s="43"/>
      <c r="H18" s="9">
        <f>+I16/(B17-CashFlow!I4)</f>
        <v>120.18272461864596</v>
      </c>
      <c r="I18" s="50"/>
      <c r="J18" s="43"/>
      <c r="K18" s="43"/>
    </row>
    <row r="19" spans="1:11" x14ac:dyDescent="0.35">
      <c r="A19" s="51" t="s">
        <v>111</v>
      </c>
      <c r="B19" s="52">
        <f>NPV(B17,C16:H16)</f>
        <v>15.368947648167289</v>
      </c>
      <c r="C19" s="57"/>
      <c r="D19" s="57"/>
      <c r="E19" s="57"/>
      <c r="F19" s="57"/>
      <c r="G19" s="57"/>
      <c r="H19" s="57"/>
      <c r="I19" s="57"/>
      <c r="J19" s="43"/>
      <c r="K19" s="43"/>
    </row>
    <row r="20" spans="1:11" x14ac:dyDescent="0.35">
      <c r="A20" s="51" t="s">
        <v>132</v>
      </c>
      <c r="B20" s="52">
        <f>+B18+B19</f>
        <v>83.457416345698576</v>
      </c>
      <c r="C20" s="43"/>
      <c r="D20" s="43"/>
      <c r="E20" s="43"/>
      <c r="F20" s="43"/>
      <c r="G20" s="43"/>
      <c r="H20" s="43"/>
      <c r="I20" s="50"/>
      <c r="J20" s="43"/>
      <c r="K20" s="43"/>
    </row>
    <row r="21" spans="1:11" x14ac:dyDescent="0.35">
      <c r="A21" s="16"/>
      <c r="B21" s="56"/>
      <c r="C21" s="43"/>
      <c r="D21" s="43"/>
      <c r="E21" s="43"/>
      <c r="F21" s="43"/>
      <c r="G21" s="43"/>
      <c r="H21" s="43"/>
      <c r="I21" s="43"/>
      <c r="J21" s="43"/>
      <c r="K21" s="43"/>
    </row>
    <row r="22" spans="1:11" x14ac:dyDescent="0.35">
      <c r="A22" s="51" t="s">
        <v>133</v>
      </c>
      <c r="B22" s="52">
        <f>+CashFlow!B29</f>
        <v>214.93518500148846</v>
      </c>
      <c r="C22" s="43"/>
      <c r="D22" s="43"/>
      <c r="E22" s="43"/>
      <c r="F22" s="43"/>
      <c r="G22" s="43"/>
      <c r="H22" s="43"/>
      <c r="I22" s="43"/>
      <c r="J22" s="43"/>
      <c r="K22" s="43"/>
    </row>
    <row r="23" spans="1:11" x14ac:dyDescent="0.35">
      <c r="A23" s="51" t="s">
        <v>134</v>
      </c>
      <c r="B23" s="52">
        <f>+B20+B22</f>
        <v>298.39260134718705</v>
      </c>
      <c r="C23" s="58"/>
      <c r="D23" s="58"/>
      <c r="E23" s="58"/>
      <c r="F23" s="58"/>
      <c r="G23" s="58"/>
      <c r="H23" s="58"/>
      <c r="I23" s="43"/>
      <c r="J23" s="43"/>
      <c r="K23" s="43"/>
    </row>
    <row r="24" spans="1:11" x14ac:dyDescent="0.35">
      <c r="A24" s="16"/>
      <c r="B24" s="58"/>
      <c r="C24" s="58"/>
      <c r="D24" s="58"/>
      <c r="E24" s="58"/>
      <c r="F24" s="58"/>
      <c r="G24" s="58"/>
      <c r="H24" s="58"/>
      <c r="I24" s="43"/>
      <c r="J24" s="43"/>
      <c r="K24" s="43"/>
    </row>
    <row r="25" spans="1:11" x14ac:dyDescent="0.35">
      <c r="A25" s="16"/>
      <c r="B25" s="58"/>
      <c r="C25" s="43"/>
      <c r="D25" s="43"/>
      <c r="E25" s="43"/>
      <c r="F25" s="43"/>
      <c r="G25" s="43"/>
      <c r="H25" s="43"/>
      <c r="I25" s="43"/>
      <c r="J25" s="43"/>
      <c r="K25" s="43"/>
    </row>
    <row r="26" spans="1:11" x14ac:dyDescent="0.35">
      <c r="A26" s="16"/>
      <c r="B26" s="58"/>
      <c r="C26" s="43"/>
      <c r="D26" s="43"/>
      <c r="E26" s="43"/>
      <c r="F26" s="43"/>
      <c r="G26" s="43"/>
      <c r="H26" s="43"/>
      <c r="I26" s="43"/>
      <c r="J26" s="43"/>
      <c r="K26" s="43"/>
    </row>
    <row r="27" spans="1:11" x14ac:dyDescent="0.35">
      <c r="A27" s="16"/>
      <c r="B27" s="58"/>
      <c r="C27" s="43"/>
      <c r="D27" s="43"/>
      <c r="E27" s="43"/>
      <c r="F27" s="43"/>
      <c r="G27" s="43"/>
      <c r="H27" s="43"/>
      <c r="I27" s="43"/>
      <c r="J27" s="43"/>
      <c r="K27" s="43"/>
    </row>
    <row r="28" spans="1:11" x14ac:dyDescent="0.35">
      <c r="A28" s="16"/>
      <c r="B28" s="58"/>
      <c r="C28" s="43"/>
      <c r="D28" s="43"/>
      <c r="E28" s="43"/>
      <c r="F28" s="43"/>
      <c r="G28" s="43"/>
      <c r="H28" s="43"/>
      <c r="I28" s="43"/>
      <c r="J28" s="43"/>
      <c r="K28" s="43"/>
    </row>
    <row r="29" spans="1:11" x14ac:dyDescent="0.35">
      <c r="A29" s="43"/>
      <c r="B29" s="43"/>
      <c r="C29" s="43"/>
      <c r="D29" s="43"/>
      <c r="E29" s="43"/>
      <c r="F29" s="43"/>
      <c r="G29" s="43"/>
      <c r="H29" s="43"/>
      <c r="I29" s="43"/>
      <c r="J29" s="43"/>
      <c r="K29" s="43"/>
    </row>
    <row r="30" spans="1:11" x14ac:dyDescent="0.35">
      <c r="A30" s="43"/>
      <c r="B30" s="43"/>
      <c r="C30" s="43"/>
      <c r="D30" s="43"/>
      <c r="E30" s="43"/>
      <c r="F30" s="43"/>
      <c r="G30" s="43"/>
      <c r="H30" s="43"/>
      <c r="I30" s="43"/>
      <c r="J30" s="43"/>
      <c r="K30" s="43"/>
    </row>
    <row r="31" spans="1:11" x14ac:dyDescent="0.35">
      <c r="A31" s="43"/>
      <c r="B31" s="43"/>
      <c r="C31" s="43"/>
      <c r="D31" s="43"/>
      <c r="E31" s="43"/>
      <c r="F31" s="43"/>
      <c r="G31" s="43"/>
      <c r="H31" s="43"/>
      <c r="I31" s="43"/>
      <c r="J31" s="43"/>
      <c r="K31" s="4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opLeftCell="A8" zoomScale="142" zoomScaleNormal="142" workbookViewId="0">
      <selection activeCell="D17" sqref="D17"/>
    </sheetView>
  </sheetViews>
  <sheetFormatPr defaultRowHeight="14.5" x14ac:dyDescent="0.35"/>
  <cols>
    <col min="1" max="1" width="11.7265625" customWidth="1"/>
    <col min="2" max="2" width="31.453125" bestFit="1" customWidth="1"/>
    <col min="6" max="6" width="15.81640625" customWidth="1"/>
  </cols>
  <sheetData>
    <row r="1" spans="1:6" ht="29" x14ac:dyDescent="0.35">
      <c r="A1" s="38" t="s">
        <v>73</v>
      </c>
      <c r="B1" s="39" t="s">
        <v>74</v>
      </c>
      <c r="C1" s="38" t="s">
        <v>83</v>
      </c>
      <c r="D1" s="38" t="s">
        <v>84</v>
      </c>
      <c r="E1" s="38" t="s">
        <v>85</v>
      </c>
    </row>
    <row r="2" spans="1:6" x14ac:dyDescent="0.35">
      <c r="A2" s="37">
        <v>41023</v>
      </c>
      <c r="B2" t="s">
        <v>75</v>
      </c>
      <c r="C2">
        <v>6.1</v>
      </c>
      <c r="D2">
        <v>20.2</v>
      </c>
      <c r="E2">
        <v>20.9</v>
      </c>
    </row>
    <row r="3" spans="1:6" x14ac:dyDescent="0.35">
      <c r="A3" s="37">
        <v>39653</v>
      </c>
      <c r="B3" t="s">
        <v>76</v>
      </c>
      <c r="C3">
        <v>5.0999999999999996</v>
      </c>
      <c r="D3">
        <v>23.3</v>
      </c>
      <c r="E3">
        <v>25.5</v>
      </c>
    </row>
    <row r="4" spans="1:6" x14ac:dyDescent="0.35">
      <c r="A4" s="37">
        <v>39063</v>
      </c>
      <c r="B4" t="s">
        <v>77</v>
      </c>
      <c r="C4">
        <v>9.4</v>
      </c>
      <c r="D4">
        <v>11.6</v>
      </c>
      <c r="E4">
        <v>12.5</v>
      </c>
    </row>
    <row r="5" spans="1:6" ht="29" x14ac:dyDescent="0.35">
      <c r="A5" s="79">
        <v>38737</v>
      </c>
      <c r="B5" s="80" t="s">
        <v>78</v>
      </c>
      <c r="C5" s="80">
        <v>6.3</v>
      </c>
      <c r="D5" s="80">
        <v>43.1</v>
      </c>
      <c r="E5" s="80">
        <v>61.3</v>
      </c>
      <c r="F5" s="81" t="s">
        <v>151</v>
      </c>
    </row>
    <row r="6" spans="1:6" x14ac:dyDescent="0.35">
      <c r="A6" s="37">
        <v>38637</v>
      </c>
      <c r="B6" t="s">
        <v>79</v>
      </c>
      <c r="C6">
        <v>1.5</v>
      </c>
      <c r="E6">
        <v>20.100000000000001</v>
      </c>
    </row>
    <row r="7" spans="1:6" x14ac:dyDescent="0.35">
      <c r="A7" s="37">
        <v>38349</v>
      </c>
      <c r="B7" t="s">
        <v>80</v>
      </c>
      <c r="C7">
        <v>4.9000000000000004</v>
      </c>
      <c r="D7">
        <v>22.7</v>
      </c>
      <c r="E7">
        <v>28.6</v>
      </c>
    </row>
    <row r="8" spans="1:6" x14ac:dyDescent="0.35">
      <c r="A8" s="37">
        <v>37959</v>
      </c>
      <c r="B8" t="s">
        <v>81</v>
      </c>
      <c r="C8">
        <v>3</v>
      </c>
      <c r="D8">
        <v>15</v>
      </c>
    </row>
    <row r="9" spans="1:6" x14ac:dyDescent="0.35">
      <c r="A9" s="37">
        <v>37246</v>
      </c>
      <c r="B9" t="s">
        <v>82</v>
      </c>
      <c r="C9">
        <v>1.6</v>
      </c>
      <c r="D9">
        <v>11.2</v>
      </c>
      <c r="E9">
        <v>13.5</v>
      </c>
    </row>
    <row r="10" spans="1:6" x14ac:dyDescent="0.35">
      <c r="B10" s="2" t="s">
        <v>144</v>
      </c>
      <c r="C10" s="7">
        <f>AVERAGE(C2:C4,C6:C9)</f>
        <v>4.5142857142857142</v>
      </c>
      <c r="D10" s="7">
        <f t="shared" ref="D10:E10" si="0">AVERAGE(D2:D4,D6:D9)</f>
        <v>17.333333333333332</v>
      </c>
      <c r="E10" s="7">
        <f t="shared" si="0"/>
        <v>20.183333333333334</v>
      </c>
    </row>
    <row r="11" spans="1:6" x14ac:dyDescent="0.35">
      <c r="B11" s="2" t="s">
        <v>145</v>
      </c>
      <c r="C11" s="69">
        <f>MEDIAN(C2:C4,C6:C9)</f>
        <v>4.9000000000000004</v>
      </c>
      <c r="D11" s="69">
        <f t="shared" ref="D11:E11" si="1">MEDIAN(D2:D4,D6:D9)</f>
        <v>17.600000000000001</v>
      </c>
      <c r="E11" s="69">
        <f t="shared" si="1"/>
        <v>20.5</v>
      </c>
    </row>
    <row r="12" spans="1:6" x14ac:dyDescent="0.35">
      <c r="B12" s="2" t="s">
        <v>57</v>
      </c>
      <c r="C12" s="103">
        <f>AVERAGE(C2:C9)</f>
        <v>4.7375000000000007</v>
      </c>
      <c r="D12" s="103">
        <f t="shared" ref="D12:E12" si="2">AVERAGE(D2:D9)</f>
        <v>21.014285714285712</v>
      </c>
      <c r="E12" s="103">
        <f t="shared" si="2"/>
        <v>26.057142857142853</v>
      </c>
    </row>
    <row r="13" spans="1:6" x14ac:dyDescent="0.35">
      <c r="B13" s="2" t="s">
        <v>70</v>
      </c>
      <c r="C13" s="7">
        <f>MEDIAN(C2:C9)</f>
        <v>5</v>
      </c>
      <c r="D13" s="7">
        <f t="shared" ref="D13:E13" si="3">MEDIAN(D2:D9)</f>
        <v>20.2</v>
      </c>
      <c r="E13" s="7">
        <f t="shared" si="3"/>
        <v>20.9</v>
      </c>
    </row>
    <row r="14" spans="1:6" ht="29" x14ac:dyDescent="0.35">
      <c r="B14" s="9"/>
      <c r="C14" s="82" t="s">
        <v>83</v>
      </c>
      <c r="D14" s="82" t="s">
        <v>84</v>
      </c>
      <c r="E14" s="82" t="s">
        <v>85</v>
      </c>
    </row>
    <row r="15" spans="1:6" x14ac:dyDescent="0.35">
      <c r="B15" s="9" t="s">
        <v>55</v>
      </c>
      <c r="C15" s="10">
        <f>+Comparables!C53</f>
        <v>66.3</v>
      </c>
      <c r="D15" s="10">
        <f>+Comparables!F53</f>
        <v>16.600000000000001</v>
      </c>
      <c r="E15" s="10">
        <f>+Comparables!I53</f>
        <v>13.100000000000001</v>
      </c>
    </row>
    <row r="16" spans="1:6" x14ac:dyDescent="0.35">
      <c r="B16" s="9" t="s">
        <v>149</v>
      </c>
      <c r="C16" s="46">
        <f>+C11</f>
        <v>4.9000000000000004</v>
      </c>
      <c r="D16" s="46">
        <f t="shared" ref="D16:E16" si="4">+D11</f>
        <v>17.600000000000001</v>
      </c>
      <c r="E16" s="46">
        <f t="shared" si="4"/>
        <v>20.5</v>
      </c>
    </row>
    <row r="17" spans="2:7" x14ac:dyDescent="0.35">
      <c r="B17" s="15" t="s">
        <v>86</v>
      </c>
      <c r="C17" s="31">
        <f>+C15*C16</f>
        <v>324.87</v>
      </c>
      <c r="D17" s="31">
        <f t="shared" ref="D17:E17" si="5">+D15*D16</f>
        <v>292.16000000000003</v>
      </c>
      <c r="E17" s="31">
        <f t="shared" si="5"/>
        <v>268.55</v>
      </c>
      <c r="G17">
        <f>290/205-1</f>
        <v>0.41463414634146334</v>
      </c>
    </row>
    <row r="18" spans="2:7" x14ac:dyDescent="0.35">
      <c r="B18" s="83" t="s">
        <v>93</v>
      </c>
      <c r="C18" s="84">
        <v>325</v>
      </c>
      <c r="D18" s="84">
        <v>290</v>
      </c>
      <c r="E18" s="84">
        <v>265</v>
      </c>
    </row>
    <row r="19" spans="2:7" x14ac:dyDescent="0.35">
      <c r="B19" s="9" t="s">
        <v>71</v>
      </c>
      <c r="C19" s="10">
        <f>+D19</f>
        <v>25</v>
      </c>
      <c r="D19" s="10">
        <f>+Comparables!B79</f>
        <v>25</v>
      </c>
      <c r="E19" s="10">
        <f>+Comparables!C79</f>
        <v>25</v>
      </c>
    </row>
    <row r="20" spans="2:7" x14ac:dyDescent="0.35">
      <c r="B20" s="9" t="s">
        <v>92</v>
      </c>
      <c r="C20" s="10">
        <f>+C18-C19</f>
        <v>300</v>
      </c>
      <c r="D20" s="10">
        <f>+D18-D19</f>
        <v>265</v>
      </c>
      <c r="E20" s="10">
        <f>+E18-E19</f>
        <v>240</v>
      </c>
    </row>
    <row r="21" spans="2:7" x14ac:dyDescent="0.35">
      <c r="D21" s="6">
        <f>+D20/Comparables!$C$80-1</f>
        <v>0.39473684210526305</v>
      </c>
      <c r="E21" s="6">
        <f>+E20/Comparables!$C$80-1</f>
        <v>0.26315789473684204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6"/>
  <sheetViews>
    <sheetView workbookViewId="0">
      <selection activeCell="D17" sqref="D17"/>
    </sheetView>
  </sheetViews>
  <sheetFormatPr defaultRowHeight="14.5" x14ac:dyDescent="0.35"/>
  <cols>
    <col min="1" max="1" width="20.54296875" bestFit="1" customWidth="1"/>
  </cols>
  <sheetData>
    <row r="2" spans="1:3" x14ac:dyDescent="0.35">
      <c r="A2" s="15" t="s">
        <v>154</v>
      </c>
      <c r="B2" s="59" t="s">
        <v>1</v>
      </c>
      <c r="C2" s="59" t="s">
        <v>2</v>
      </c>
    </row>
    <row r="3" spans="1:3" x14ac:dyDescent="0.35">
      <c r="A3" s="9" t="s">
        <v>0</v>
      </c>
      <c r="B3" s="12">
        <v>65</v>
      </c>
      <c r="C3" s="9">
        <v>66.3</v>
      </c>
    </row>
    <row r="4" spans="1:3" x14ac:dyDescent="0.35">
      <c r="A4" s="9" t="s">
        <v>3</v>
      </c>
      <c r="B4" s="9">
        <v>15.3</v>
      </c>
      <c r="C4" s="9">
        <v>16.600000000000001</v>
      </c>
    </row>
    <row r="5" spans="1:3" x14ac:dyDescent="0.35">
      <c r="A5" s="13" t="s">
        <v>152</v>
      </c>
      <c r="B5" s="41">
        <f>+B4/B3</f>
        <v>0.23538461538461539</v>
      </c>
      <c r="C5" s="41">
        <f>+C4/C3</f>
        <v>0.25037707390648573</v>
      </c>
    </row>
    <row r="6" spans="1:3" x14ac:dyDescent="0.35">
      <c r="A6" s="9" t="s">
        <v>4</v>
      </c>
      <c r="B6" s="9">
        <v>11.5</v>
      </c>
      <c r="C6" s="9">
        <v>13.1</v>
      </c>
    </row>
    <row r="7" spans="1:3" x14ac:dyDescent="0.35">
      <c r="A7" s="13" t="s">
        <v>152</v>
      </c>
      <c r="B7" s="41">
        <f>+B6/B3</f>
        <v>0.17692307692307693</v>
      </c>
      <c r="C7" s="41">
        <f>+C6/C3</f>
        <v>0.1975867269984917</v>
      </c>
    </row>
    <row r="9" spans="1:3" x14ac:dyDescent="0.35">
      <c r="A9" s="36" t="s">
        <v>153</v>
      </c>
      <c r="B9" s="59" t="s">
        <v>1</v>
      </c>
    </row>
    <row r="10" spans="1:3" x14ac:dyDescent="0.35">
      <c r="A10" s="15" t="s">
        <v>6</v>
      </c>
      <c r="B10" s="12">
        <v>139</v>
      </c>
    </row>
    <row r="11" spans="1:3" x14ac:dyDescent="0.35">
      <c r="A11" s="9" t="s">
        <v>7</v>
      </c>
      <c r="B11" s="12">
        <v>28</v>
      </c>
    </row>
    <row r="12" spans="1:3" x14ac:dyDescent="0.35">
      <c r="A12" s="9" t="s">
        <v>198</v>
      </c>
      <c r="B12" s="12">
        <f>+B10+B11</f>
        <v>167</v>
      </c>
    </row>
    <row r="13" spans="1:3" x14ac:dyDescent="0.35">
      <c r="A13" s="9"/>
      <c r="B13" s="12"/>
    </row>
    <row r="14" spans="1:3" x14ac:dyDescent="0.35">
      <c r="A14" s="9" t="s">
        <v>5</v>
      </c>
      <c r="B14" s="12">
        <v>194</v>
      </c>
    </row>
    <row r="15" spans="1:3" x14ac:dyDescent="0.35">
      <c r="A15" s="9" t="s">
        <v>8</v>
      </c>
      <c r="B15" s="12">
        <f>+B14-B12</f>
        <v>27</v>
      </c>
    </row>
    <row r="16" spans="1:3" x14ac:dyDescent="0.35">
      <c r="A16" s="9" t="s">
        <v>197</v>
      </c>
      <c r="B16" s="12">
        <f>+B14-B15</f>
        <v>167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zoomScale="130" zoomScaleNormal="130" workbookViewId="0">
      <selection sqref="A1:D13"/>
    </sheetView>
  </sheetViews>
  <sheetFormatPr defaultRowHeight="14.5" x14ac:dyDescent="0.35"/>
  <cols>
    <col min="1" max="1" width="30.453125" bestFit="1" customWidth="1"/>
    <col min="2" max="2" width="12.54296875" bestFit="1" customWidth="1"/>
  </cols>
  <sheetData>
    <row r="1" spans="1:6" x14ac:dyDescent="0.35">
      <c r="A1" s="9" t="s">
        <v>190</v>
      </c>
      <c r="B1" s="9"/>
      <c r="C1" s="9"/>
      <c r="D1" s="9"/>
    </row>
    <row r="2" spans="1:6" x14ac:dyDescent="0.35">
      <c r="A2" s="9"/>
      <c r="B2" s="45" t="s">
        <v>9</v>
      </c>
      <c r="C2" s="45" t="s">
        <v>10</v>
      </c>
      <c r="D2" s="45" t="s">
        <v>23</v>
      </c>
    </row>
    <row r="3" spans="1:6" x14ac:dyDescent="0.35">
      <c r="A3" s="9" t="s">
        <v>11</v>
      </c>
      <c r="B3" s="10">
        <v>15</v>
      </c>
      <c r="C3" s="10">
        <f>+E3*F3</f>
        <v>36</v>
      </c>
      <c r="D3" s="10">
        <f>+C3-B3</f>
        <v>21</v>
      </c>
      <c r="E3">
        <v>0.8</v>
      </c>
      <c r="F3">
        <v>45</v>
      </c>
    </row>
    <row r="4" spans="1:6" x14ac:dyDescent="0.35">
      <c r="A4" s="9" t="s">
        <v>12</v>
      </c>
      <c r="B4" s="10">
        <v>0</v>
      </c>
      <c r="C4" s="10">
        <f>+BrandValue!B13</f>
        <v>56.313543134526832</v>
      </c>
      <c r="D4" s="10">
        <f t="shared" ref="D4:D11" si="0">+C4-B4</f>
        <v>56.313543134526832</v>
      </c>
      <c r="E4" s="3">
        <v>0.03</v>
      </c>
      <c r="F4" s="3">
        <v>0.09</v>
      </c>
    </row>
    <row r="5" spans="1:6" x14ac:dyDescent="0.35">
      <c r="A5" s="9" t="s">
        <v>13</v>
      </c>
      <c r="B5" s="10">
        <v>14</v>
      </c>
      <c r="C5" s="10">
        <v>17</v>
      </c>
      <c r="D5" s="10">
        <f t="shared" si="0"/>
        <v>3</v>
      </c>
    </row>
    <row r="6" spans="1:6" x14ac:dyDescent="0.35">
      <c r="A6" s="9" t="s">
        <v>159</v>
      </c>
      <c r="B6" s="10">
        <f>35-B3-B5</f>
        <v>6</v>
      </c>
      <c r="C6" s="10">
        <f>+B6</f>
        <v>6</v>
      </c>
      <c r="D6" s="10">
        <f t="shared" si="0"/>
        <v>0</v>
      </c>
    </row>
    <row r="7" spans="1:6" x14ac:dyDescent="0.35">
      <c r="A7" s="9" t="s">
        <v>14</v>
      </c>
      <c r="B7" s="10">
        <v>124</v>
      </c>
      <c r="C7" s="10">
        <f>+B7-14</f>
        <v>110</v>
      </c>
      <c r="D7" s="10">
        <f t="shared" si="0"/>
        <v>-14</v>
      </c>
    </row>
    <row r="8" spans="1:6" x14ac:dyDescent="0.35">
      <c r="A8" s="9" t="s">
        <v>191</v>
      </c>
      <c r="B8" s="10">
        <v>30</v>
      </c>
      <c r="C8" s="10">
        <v>30</v>
      </c>
      <c r="D8" s="10">
        <f t="shared" si="0"/>
        <v>0</v>
      </c>
    </row>
    <row r="9" spans="1:6" x14ac:dyDescent="0.35">
      <c r="A9" s="9" t="s">
        <v>15</v>
      </c>
      <c r="B9" s="10">
        <v>3</v>
      </c>
      <c r="C9" s="10">
        <v>3</v>
      </c>
      <c r="D9" s="10">
        <f t="shared" si="0"/>
        <v>0</v>
      </c>
    </row>
    <row r="10" spans="1:6" x14ac:dyDescent="0.35">
      <c r="A10" s="9" t="s">
        <v>160</v>
      </c>
      <c r="B10" s="10">
        <v>2</v>
      </c>
      <c r="C10" s="10">
        <v>2</v>
      </c>
      <c r="D10" s="10">
        <f t="shared" si="0"/>
        <v>0</v>
      </c>
    </row>
    <row r="11" spans="1:6" x14ac:dyDescent="0.35">
      <c r="A11" s="9" t="s">
        <v>16</v>
      </c>
      <c r="B11" s="10">
        <f>SUM(B3:B10)</f>
        <v>194</v>
      </c>
      <c r="C11" s="10">
        <f>SUM(C3:C10)</f>
        <v>260.31354313452687</v>
      </c>
      <c r="D11" s="10">
        <f t="shared" si="0"/>
        <v>66.313543134526867</v>
      </c>
    </row>
    <row r="12" spans="1:6" x14ac:dyDescent="0.35">
      <c r="A12" s="9"/>
      <c r="B12" s="10"/>
      <c r="C12" s="10"/>
      <c r="D12" s="10"/>
    </row>
    <row r="13" spans="1:6" x14ac:dyDescent="0.35">
      <c r="A13" s="9" t="s">
        <v>6</v>
      </c>
      <c r="B13" s="10">
        <f>+BV!B10</f>
        <v>139</v>
      </c>
      <c r="C13" s="10">
        <f>+B13+D11</f>
        <v>205.31354313452687</v>
      </c>
      <c r="D13" s="10"/>
    </row>
    <row r="14" spans="1:6" x14ac:dyDescent="0.35">
      <c r="A14" t="s">
        <v>24</v>
      </c>
      <c r="B14" s="70"/>
      <c r="C14" s="70"/>
      <c r="D14" s="70"/>
    </row>
    <row r="15" spans="1:6" x14ac:dyDescent="0.35">
      <c r="A15" s="4" t="s">
        <v>11</v>
      </c>
      <c r="B15" s="70">
        <f>+D3</f>
        <v>21</v>
      </c>
      <c r="C15" s="70"/>
      <c r="D15" s="70"/>
    </row>
    <row r="16" spans="1:6" x14ac:dyDescent="0.35">
      <c r="A16" s="4" t="s">
        <v>12</v>
      </c>
      <c r="B16" s="70">
        <f>+D4</f>
        <v>56.313543134526832</v>
      </c>
      <c r="C16" s="70"/>
      <c r="D16" s="70"/>
    </row>
    <row r="17" spans="1:4" x14ac:dyDescent="0.35">
      <c r="A17" s="4" t="s">
        <v>13</v>
      </c>
      <c r="B17" s="70">
        <f>+D5</f>
        <v>3</v>
      </c>
      <c r="C17" s="70"/>
      <c r="D17" s="70"/>
    </row>
    <row r="18" spans="1:4" x14ac:dyDescent="0.35">
      <c r="A18" s="4" t="s">
        <v>14</v>
      </c>
      <c r="B18" s="70">
        <f>+D7</f>
        <v>-14</v>
      </c>
      <c r="C18" s="70"/>
      <c r="D18" s="70"/>
    </row>
    <row r="19" spans="1:4" x14ac:dyDescent="0.35">
      <c r="A19" s="4" t="s">
        <v>25</v>
      </c>
      <c r="B19" s="70">
        <f>SUM(B15:B18)</f>
        <v>66.313543134526839</v>
      </c>
      <c r="C19" s="70"/>
      <c r="D19" s="70"/>
    </row>
    <row r="20" spans="1:4" x14ac:dyDescent="0.35">
      <c r="A20" t="s">
        <v>26</v>
      </c>
      <c r="B20" s="70">
        <f>+B13+B19</f>
        <v>205.31354313452684</v>
      </c>
      <c r="C20" s="70"/>
      <c r="D20" s="70"/>
    </row>
    <row r="21" spans="1:4" x14ac:dyDescent="0.35">
      <c r="A21" s="4" t="s">
        <v>27</v>
      </c>
      <c r="B21" s="5">
        <f>+B20/B13-1</f>
        <v>0.47707584988868224</v>
      </c>
    </row>
    <row r="23" spans="1:4" x14ac:dyDescent="0.35">
      <c r="A23" s="4" t="s">
        <v>7</v>
      </c>
      <c r="B23" s="70">
        <f>+BV!B11</f>
        <v>28</v>
      </c>
    </row>
    <row r="24" spans="1:4" x14ac:dyDescent="0.35">
      <c r="A24" t="s">
        <v>56</v>
      </c>
      <c r="B24" s="70">
        <f>+B20+B23</f>
        <v>233.31354313452684</v>
      </c>
    </row>
    <row r="25" spans="1:4" x14ac:dyDescent="0.35">
      <c r="B25" s="7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16"/>
  <sheetViews>
    <sheetView zoomScale="108" zoomScaleNormal="108" workbookViewId="0">
      <selection activeCell="A2" sqref="A2:I13"/>
    </sheetView>
  </sheetViews>
  <sheetFormatPr defaultRowHeight="14.5" x14ac:dyDescent="0.35"/>
  <cols>
    <col min="1" max="1" width="24.26953125" bestFit="1" customWidth="1"/>
  </cols>
  <sheetData>
    <row r="2" spans="1:9" x14ac:dyDescent="0.35">
      <c r="A2" s="9"/>
      <c r="B2" s="59" t="s">
        <v>1</v>
      </c>
      <c r="C2" s="59" t="s">
        <v>2</v>
      </c>
      <c r="D2" s="59" t="s">
        <v>17</v>
      </c>
      <c r="E2" s="59" t="s">
        <v>18</v>
      </c>
      <c r="F2" s="59" t="s">
        <v>19</v>
      </c>
      <c r="G2" s="59" t="s">
        <v>20</v>
      </c>
      <c r="H2" s="59" t="s">
        <v>21</v>
      </c>
      <c r="I2" s="59" t="s">
        <v>22</v>
      </c>
    </row>
    <row r="3" spans="1:9" x14ac:dyDescent="0.35">
      <c r="A3" s="9" t="s">
        <v>0</v>
      </c>
      <c r="B3" s="9">
        <v>65</v>
      </c>
      <c r="C3" s="9">
        <v>66.3</v>
      </c>
      <c r="D3" s="9">
        <v>70.400000000000006</v>
      </c>
      <c r="E3" s="9">
        <v>75.5</v>
      </c>
      <c r="F3" s="9">
        <v>80.2</v>
      </c>
      <c r="G3" s="9">
        <v>85.1</v>
      </c>
      <c r="H3" s="9">
        <v>88.5</v>
      </c>
      <c r="I3" s="46">
        <f>+H3*(1+I4)</f>
        <v>90.712499999999991</v>
      </c>
    </row>
    <row r="4" spans="1:9" x14ac:dyDescent="0.35">
      <c r="A4" s="9" t="s">
        <v>28</v>
      </c>
      <c r="B4" s="9"/>
      <c r="C4" s="41">
        <f>+C3/B3-1</f>
        <v>2.0000000000000018E-2</v>
      </c>
      <c r="D4" s="41">
        <f t="shared" ref="D4:H4" si="0">+D3/C3-1</f>
        <v>6.18401206636503E-2</v>
      </c>
      <c r="E4" s="41">
        <f t="shared" si="0"/>
        <v>7.2443181818181657E-2</v>
      </c>
      <c r="F4" s="41">
        <f t="shared" si="0"/>
        <v>6.2251655629139035E-2</v>
      </c>
      <c r="G4" s="41">
        <f t="shared" si="0"/>
        <v>6.1097256857855164E-2</v>
      </c>
      <c r="H4" s="41">
        <f t="shared" si="0"/>
        <v>3.9952996474735603E-2</v>
      </c>
      <c r="I4" s="101">
        <f>+CashFlow!I4</f>
        <v>2.5000000000000001E-2</v>
      </c>
    </row>
    <row r="5" spans="1:9" x14ac:dyDescent="0.35">
      <c r="A5" s="9" t="s">
        <v>37</v>
      </c>
      <c r="B5" s="47">
        <f>(NAV!E4+NAV!F4)/2</f>
        <v>0.06</v>
      </c>
      <c r="C5" s="9"/>
      <c r="D5" s="9"/>
      <c r="E5" s="9"/>
      <c r="F5" s="9"/>
      <c r="G5" s="9"/>
      <c r="H5" s="9"/>
      <c r="I5" s="9"/>
    </row>
    <row r="6" spans="1:9" x14ac:dyDescent="0.35">
      <c r="A6" s="9" t="s">
        <v>38</v>
      </c>
      <c r="B6" s="46">
        <f>+B3*$B$5</f>
        <v>3.9</v>
      </c>
      <c r="C6" s="46">
        <f t="shared" ref="C6:I6" si="1">+C3*$B$5</f>
        <v>3.9779999999999998</v>
      </c>
      <c r="D6" s="46">
        <f t="shared" si="1"/>
        <v>4.2240000000000002</v>
      </c>
      <c r="E6" s="46">
        <f t="shared" si="1"/>
        <v>4.53</v>
      </c>
      <c r="F6" s="46">
        <f t="shared" si="1"/>
        <v>4.8120000000000003</v>
      </c>
      <c r="G6" s="46">
        <f t="shared" si="1"/>
        <v>5.1059999999999999</v>
      </c>
      <c r="H6" s="46">
        <f t="shared" si="1"/>
        <v>5.31</v>
      </c>
      <c r="I6" s="46">
        <f t="shared" si="1"/>
        <v>5.4427499999999993</v>
      </c>
    </row>
    <row r="7" spans="1:9" x14ac:dyDescent="0.35">
      <c r="A7" s="9" t="s">
        <v>97</v>
      </c>
      <c r="B7" s="41">
        <f>+CashFlow!$B$18</f>
        <v>0.34399999999999997</v>
      </c>
      <c r="C7" s="9"/>
      <c r="D7" s="9"/>
      <c r="E7" s="9"/>
      <c r="F7" s="9"/>
      <c r="G7" s="9"/>
      <c r="H7" s="9"/>
      <c r="I7" s="9"/>
    </row>
    <row r="8" spans="1:9" x14ac:dyDescent="0.35">
      <c r="A8" s="9" t="s">
        <v>113</v>
      </c>
      <c r="B8" s="46">
        <f>+B6*(1-$B$7)</f>
        <v>2.5584000000000002</v>
      </c>
      <c r="C8" s="46">
        <f t="shared" ref="C8:I8" si="2">+C6*(1-$B$7)</f>
        <v>2.6095679999999999</v>
      </c>
      <c r="D8" s="46">
        <f t="shared" si="2"/>
        <v>2.7709440000000001</v>
      </c>
      <c r="E8" s="46">
        <f t="shared" si="2"/>
        <v>2.9716800000000001</v>
      </c>
      <c r="F8" s="46">
        <f t="shared" si="2"/>
        <v>3.1566720000000004</v>
      </c>
      <c r="G8" s="54">
        <f t="shared" si="2"/>
        <v>3.3495360000000001</v>
      </c>
      <c r="H8" s="46">
        <f t="shared" si="2"/>
        <v>3.4833599999999998</v>
      </c>
      <c r="I8" s="55">
        <f t="shared" si="2"/>
        <v>3.5704439999999997</v>
      </c>
    </row>
    <row r="9" spans="1:9" x14ac:dyDescent="0.35">
      <c r="A9" s="9" t="s">
        <v>199</v>
      </c>
      <c r="B9" s="9"/>
      <c r="C9" s="9"/>
      <c r="D9" s="9"/>
      <c r="E9" s="9"/>
      <c r="F9" s="9"/>
      <c r="G9" s="9"/>
      <c r="H9" s="41">
        <f>+CashFlow!B22</f>
        <v>7.6856900000000006E-2</v>
      </c>
    </row>
    <row r="10" spans="1:9" x14ac:dyDescent="0.35">
      <c r="A10" s="9" t="s">
        <v>200</v>
      </c>
      <c r="B10" s="41">
        <f>+CashFlow!B23</f>
        <v>8.3614599999999983E-2</v>
      </c>
      <c r="C10" s="9"/>
      <c r="D10" s="9"/>
      <c r="E10" s="9"/>
      <c r="F10" s="9"/>
      <c r="G10" s="9"/>
      <c r="H10" s="9"/>
    </row>
    <row r="11" spans="1:9" x14ac:dyDescent="0.35">
      <c r="A11" s="9" t="s">
        <v>22</v>
      </c>
      <c r="B11" s="107">
        <f>H11/(1+B10)^6</f>
        <v>42.527180229127531</v>
      </c>
      <c r="H11" s="107">
        <f>+I8/(H9-I4)</f>
        <v>68.8518596368082</v>
      </c>
    </row>
    <row r="12" spans="1:9" x14ac:dyDescent="0.35">
      <c r="A12" s="9" t="s">
        <v>114</v>
      </c>
      <c r="B12" s="53">
        <f>NPV(B10,C8:H8)</f>
        <v>13.786362905399301</v>
      </c>
    </row>
    <row r="13" spans="1:9" x14ac:dyDescent="0.35">
      <c r="A13" s="9" t="s">
        <v>196</v>
      </c>
      <c r="B13" s="102">
        <f>+B11+B12</f>
        <v>56.313543134526832</v>
      </c>
    </row>
    <row r="15" spans="1:9" x14ac:dyDescent="0.35">
      <c r="B15">
        <v>54.5</v>
      </c>
    </row>
    <row r="16" spans="1:9" x14ac:dyDescent="0.35">
      <c r="B16">
        <v>59.5</v>
      </c>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36"/>
  <sheetViews>
    <sheetView topLeftCell="A15" zoomScale="142" zoomScaleNormal="142" workbookViewId="0">
      <selection activeCell="A22" sqref="A22:D36"/>
    </sheetView>
  </sheetViews>
  <sheetFormatPr defaultRowHeight="14.5" x14ac:dyDescent="0.35"/>
  <cols>
    <col min="1" max="1" width="46.54296875" bestFit="1" customWidth="1"/>
    <col min="4" max="6" width="11.81640625" bestFit="1" customWidth="1"/>
    <col min="10" max="10" width="10.26953125" customWidth="1"/>
  </cols>
  <sheetData>
    <row r="2" spans="1:13" x14ac:dyDescent="0.35">
      <c r="A2" t="s">
        <v>156</v>
      </c>
    </row>
    <row r="3" spans="1:13" ht="43.5" x14ac:dyDescent="0.35">
      <c r="A3" s="17"/>
      <c r="B3" s="24" t="s">
        <v>44</v>
      </c>
      <c r="C3" s="24" t="s">
        <v>45</v>
      </c>
      <c r="D3" s="24" t="s">
        <v>47</v>
      </c>
      <c r="E3" s="24" t="s">
        <v>46</v>
      </c>
      <c r="F3" s="24" t="s">
        <v>48</v>
      </c>
      <c r="G3" s="24" t="s">
        <v>94</v>
      </c>
      <c r="H3" s="24" t="s">
        <v>95</v>
      </c>
      <c r="I3" s="24" t="s">
        <v>97</v>
      </c>
      <c r="J3" s="24" t="s">
        <v>96</v>
      </c>
      <c r="K3" s="24" t="s">
        <v>98</v>
      </c>
    </row>
    <row r="4" spans="1:13" x14ac:dyDescent="0.35">
      <c r="A4" s="31" t="s">
        <v>155</v>
      </c>
      <c r="B4" s="31"/>
      <c r="C4" s="15"/>
      <c r="D4" s="31">
        <f>+Comparables!B81</f>
        <v>177.5</v>
      </c>
      <c r="E4" s="31">
        <f>28-3</f>
        <v>25</v>
      </c>
      <c r="F4" s="31">
        <f>+D4+E4</f>
        <v>202.5</v>
      </c>
      <c r="G4" s="85">
        <f>+E4/D4</f>
        <v>0.14084507042253522</v>
      </c>
      <c r="H4" s="85"/>
      <c r="I4" s="86">
        <v>0.34399999999999997</v>
      </c>
      <c r="J4" s="40"/>
      <c r="K4" s="41"/>
      <c r="M4" s="6"/>
    </row>
    <row r="5" spans="1:13" x14ac:dyDescent="0.35">
      <c r="A5" s="2" t="s">
        <v>40</v>
      </c>
      <c r="B5" s="9"/>
      <c r="C5" s="9"/>
      <c r="D5" s="9"/>
      <c r="E5" s="10"/>
      <c r="F5" s="10"/>
      <c r="G5" s="9"/>
      <c r="H5" s="9"/>
      <c r="I5" s="9"/>
      <c r="J5" s="9"/>
      <c r="K5" s="9"/>
    </row>
    <row r="6" spans="1:13" x14ac:dyDescent="0.35">
      <c r="A6" s="18" t="s">
        <v>41</v>
      </c>
      <c r="B6" s="10">
        <v>54</v>
      </c>
      <c r="C6" s="9">
        <v>5.9</v>
      </c>
      <c r="D6" s="10">
        <f>+B6*C6</f>
        <v>318.60000000000002</v>
      </c>
      <c r="E6" s="10">
        <v>289</v>
      </c>
      <c r="F6" s="10">
        <f>+D6+E6</f>
        <v>607.6</v>
      </c>
      <c r="G6" s="40">
        <f>+E6/D6</f>
        <v>0.9070935342121782</v>
      </c>
      <c r="H6" s="40">
        <v>0.47</v>
      </c>
      <c r="I6" s="41">
        <v>0.34399999999999997</v>
      </c>
      <c r="J6" s="40">
        <f>+H6/(1+G6*(1-I6))</f>
        <v>0.2946609889331423</v>
      </c>
      <c r="K6" s="41">
        <v>3.6999999999999998E-2</v>
      </c>
    </row>
    <row r="7" spans="1:13" x14ac:dyDescent="0.35">
      <c r="A7" s="18" t="s">
        <v>42</v>
      </c>
      <c r="B7" s="10">
        <v>29.7</v>
      </c>
      <c r="C7" s="9">
        <v>6.7</v>
      </c>
      <c r="D7" s="10">
        <f t="shared" ref="D7:D8" si="0">+B7*C7</f>
        <v>198.99</v>
      </c>
      <c r="E7" s="10">
        <v>520</v>
      </c>
      <c r="F7" s="10">
        <f t="shared" ref="F7:F8" si="1">+D7+E7</f>
        <v>718.99</v>
      </c>
      <c r="G7" s="40">
        <f t="shared" ref="G7:G14" si="2">+E7/D7</f>
        <v>2.6131966430473894</v>
      </c>
      <c r="H7" s="40">
        <v>0.48</v>
      </c>
      <c r="I7" s="41">
        <v>0.34399999999999997</v>
      </c>
      <c r="J7" s="40">
        <f t="shared" ref="J7:J14" si="3">+H7/(1+G7*(1-I7))</f>
        <v>0.17684397622706483</v>
      </c>
      <c r="K7" s="41">
        <v>4.4999999999999998E-2</v>
      </c>
    </row>
    <row r="8" spans="1:13" x14ac:dyDescent="0.35">
      <c r="A8" s="18" t="s">
        <v>43</v>
      </c>
      <c r="B8" s="10">
        <v>41.2</v>
      </c>
      <c r="C8" s="9">
        <v>4.5999999999999996</v>
      </c>
      <c r="D8" s="10">
        <f t="shared" si="0"/>
        <v>189.52</v>
      </c>
      <c r="E8" s="10">
        <v>535</v>
      </c>
      <c r="F8" s="10">
        <f t="shared" si="1"/>
        <v>724.52</v>
      </c>
      <c r="G8" s="40">
        <f t="shared" si="2"/>
        <v>2.8229210637399746</v>
      </c>
      <c r="H8" s="40">
        <v>0.55000000000000004</v>
      </c>
      <c r="I8" s="41">
        <v>0.34399999999999997</v>
      </c>
      <c r="J8" s="40">
        <f t="shared" si="3"/>
        <v>0.19285820011841329</v>
      </c>
      <c r="K8" s="41">
        <v>3.7999999999999999E-2</v>
      </c>
    </row>
    <row r="9" spans="1:13" x14ac:dyDescent="0.35">
      <c r="A9" s="18"/>
      <c r="B9" s="10"/>
      <c r="C9" s="9"/>
      <c r="D9" s="10"/>
      <c r="E9" s="10"/>
      <c r="F9" s="10"/>
      <c r="G9" s="40"/>
      <c r="H9" s="40"/>
      <c r="I9" s="40"/>
      <c r="J9" s="40"/>
      <c r="K9" s="40"/>
    </row>
    <row r="10" spans="1:13" x14ac:dyDescent="0.35">
      <c r="A10" s="2" t="s">
        <v>61</v>
      </c>
      <c r="B10" s="9"/>
      <c r="C10" s="9"/>
      <c r="D10" s="10"/>
      <c r="E10" s="10"/>
      <c r="F10" s="10"/>
      <c r="G10" s="40"/>
      <c r="H10" s="40"/>
      <c r="I10" s="40"/>
      <c r="J10" s="40"/>
      <c r="K10" s="40"/>
    </row>
    <row r="11" spans="1:13" x14ac:dyDescent="0.35">
      <c r="A11" s="19" t="s">
        <v>62</v>
      </c>
      <c r="B11" s="10">
        <v>10.8</v>
      </c>
      <c r="C11" s="9">
        <v>2503.8000000000002</v>
      </c>
      <c r="D11" s="10">
        <f t="shared" ref="D11:D14" si="4">+B11*C11</f>
        <v>27041.040000000005</v>
      </c>
      <c r="E11" s="10">
        <v>8750</v>
      </c>
      <c r="F11" s="10">
        <f>+D11+E11</f>
        <v>35791.040000000008</v>
      </c>
      <c r="G11" s="40">
        <f t="shared" si="2"/>
        <v>0.32358222908586348</v>
      </c>
      <c r="H11" s="40">
        <v>0.68</v>
      </c>
      <c r="I11" s="41">
        <v>0.28000000000000003</v>
      </c>
      <c r="J11" s="40">
        <f t="shared" si="3"/>
        <v>0.55150970695575185</v>
      </c>
      <c r="K11" s="41">
        <v>5.8999999999999997E-2</v>
      </c>
    </row>
    <row r="12" spans="1:13" x14ac:dyDescent="0.35">
      <c r="A12" s="19" t="s">
        <v>63</v>
      </c>
      <c r="B12" s="10">
        <v>59.9</v>
      </c>
      <c r="C12" s="9">
        <v>263.89999999999998</v>
      </c>
      <c r="D12" s="10">
        <f t="shared" si="4"/>
        <v>15807.609999999999</v>
      </c>
      <c r="E12" s="10">
        <v>12680</v>
      </c>
      <c r="F12" s="10">
        <f t="shared" ref="F12:F14" si="5">+D12+E12</f>
        <v>28487.61</v>
      </c>
      <c r="G12" s="40">
        <f t="shared" si="2"/>
        <v>0.80214529584168648</v>
      </c>
      <c r="H12" s="40">
        <v>1.17</v>
      </c>
      <c r="I12" s="41">
        <v>0.34399999999999997</v>
      </c>
      <c r="J12" s="40">
        <f t="shared" si="3"/>
        <v>0.7666062069105587</v>
      </c>
      <c r="K12" s="41">
        <v>5.1999999999999998E-2</v>
      </c>
    </row>
    <row r="13" spans="1:13" x14ac:dyDescent="0.35">
      <c r="A13" s="19" t="s">
        <v>64</v>
      </c>
      <c r="B13" s="10">
        <v>7.2949999999999999</v>
      </c>
      <c r="C13" s="9">
        <v>290.39999999999998</v>
      </c>
      <c r="D13" s="10">
        <f t="shared" si="4"/>
        <v>2118.4679999999998</v>
      </c>
      <c r="E13" s="10">
        <v>334</v>
      </c>
      <c r="F13" s="10">
        <f t="shared" si="5"/>
        <v>2452.4679999999998</v>
      </c>
      <c r="G13" s="40">
        <f t="shared" si="2"/>
        <v>0.15766110226824293</v>
      </c>
      <c r="H13" s="40">
        <v>0.84</v>
      </c>
      <c r="I13" s="41">
        <v>0.314</v>
      </c>
      <c r="J13" s="40">
        <f t="shared" si="3"/>
        <v>0.75801635037093329</v>
      </c>
      <c r="K13" s="41">
        <v>6.2E-2</v>
      </c>
    </row>
    <row r="14" spans="1:13" x14ac:dyDescent="0.35">
      <c r="A14" s="19" t="s">
        <v>65</v>
      </c>
      <c r="B14" s="10">
        <v>35.604999999999997</v>
      </c>
      <c r="C14" s="9">
        <v>48.4</v>
      </c>
      <c r="D14" s="10">
        <f t="shared" si="4"/>
        <v>1723.2819999999997</v>
      </c>
      <c r="E14" s="10">
        <v>437</v>
      </c>
      <c r="F14" s="10">
        <f t="shared" si="5"/>
        <v>2160.2819999999997</v>
      </c>
      <c r="G14" s="40">
        <f t="shared" si="2"/>
        <v>0.25358589017932065</v>
      </c>
      <c r="H14" s="40">
        <v>0.83</v>
      </c>
      <c r="I14" s="41">
        <v>0.34399999999999997</v>
      </c>
      <c r="J14" s="40">
        <f t="shared" si="3"/>
        <v>0.71162029578786368</v>
      </c>
      <c r="K14" s="41">
        <v>5.5E-2</v>
      </c>
    </row>
    <row r="15" spans="1:13" x14ac:dyDescent="0.35">
      <c r="A15" s="35" t="s">
        <v>67</v>
      </c>
    </row>
    <row r="16" spans="1:13" x14ac:dyDescent="0.35">
      <c r="A16" s="33" t="s">
        <v>59</v>
      </c>
      <c r="D16" s="44"/>
      <c r="E16" s="44"/>
      <c r="F16" s="44"/>
      <c r="G16" s="42">
        <f>MIN(G6:G8,G11:G14)</f>
        <v>0.15766110226824293</v>
      </c>
      <c r="H16" s="42">
        <f>MIN(H6:H8,H11:H14)</f>
        <v>0.47</v>
      </c>
      <c r="I16" s="42"/>
      <c r="J16" s="42">
        <f>MIN(J$6:J$14)</f>
        <v>0.17684397622706483</v>
      </c>
      <c r="K16" s="6">
        <f>MIN(K$6:K$14)</f>
        <v>3.6999999999999998E-2</v>
      </c>
    </row>
    <row r="17" spans="1:11" x14ac:dyDescent="0.35">
      <c r="A17" s="30" t="s">
        <v>60</v>
      </c>
      <c r="D17" s="44"/>
      <c r="E17" s="44"/>
      <c r="F17" s="44"/>
      <c r="G17" s="42">
        <f>MAX(G6:G8,G11:G14)</f>
        <v>2.8229210637399746</v>
      </c>
      <c r="H17" s="42">
        <f t="shared" ref="H17" si="6">MAX(H6:H8,H11:H14)</f>
        <v>1.17</v>
      </c>
      <c r="I17" s="42"/>
      <c r="J17" s="42">
        <f>MAX(J$6:J$14)</f>
        <v>0.7666062069105587</v>
      </c>
      <c r="K17" s="6">
        <f>MAX(K$6:K$14)</f>
        <v>6.2E-2</v>
      </c>
    </row>
    <row r="18" spans="1:11" x14ac:dyDescent="0.35">
      <c r="A18" s="30" t="s">
        <v>69</v>
      </c>
      <c r="D18" s="44"/>
      <c r="E18" s="44"/>
      <c r="F18" s="44"/>
      <c r="G18" s="42">
        <f>AVERAGE(G$6:G$14)</f>
        <v>1.1257408226249508</v>
      </c>
      <c r="H18" s="42">
        <f>AVERAGE(H$6:H$14)</f>
        <v>0.71714285714285719</v>
      </c>
      <c r="I18" s="42"/>
      <c r="J18" s="42">
        <f>AVERAGE(J$6:J$14)</f>
        <v>0.49315938932910403</v>
      </c>
      <c r="K18" s="6">
        <f>AVERAGE(K$6:K$14)</f>
        <v>4.9714285714285711E-2</v>
      </c>
    </row>
    <row r="19" spans="1:11" x14ac:dyDescent="0.35">
      <c r="A19" s="87" t="s">
        <v>70</v>
      </c>
      <c r="B19" s="2"/>
      <c r="C19" s="2"/>
      <c r="D19" s="88"/>
      <c r="E19" s="88"/>
      <c r="F19" s="88"/>
      <c r="G19" s="85">
        <f>MEDIAN(G$6:G$14)</f>
        <v>0.80214529584168648</v>
      </c>
      <c r="H19" s="85">
        <f>MEDIAN(H$6:H$14)</f>
        <v>0.68</v>
      </c>
      <c r="I19" s="89"/>
      <c r="J19" s="85">
        <f>MEDIAN(J$6:J$14)</f>
        <v>0.55150970695575185</v>
      </c>
      <c r="K19" s="86">
        <f>MEDIAN(K$6:K$14)</f>
        <v>5.1999999999999998E-2</v>
      </c>
    </row>
    <row r="22" spans="1:11" ht="29" x14ac:dyDescent="0.35">
      <c r="A22" s="108" t="s">
        <v>141</v>
      </c>
      <c r="B22" s="59" t="s">
        <v>157</v>
      </c>
      <c r="C22" s="109" t="s">
        <v>193</v>
      </c>
      <c r="D22" s="109" t="s">
        <v>194</v>
      </c>
    </row>
    <row r="23" spans="1:11" x14ac:dyDescent="0.35">
      <c r="A23" s="9" t="s">
        <v>104</v>
      </c>
      <c r="B23" s="41">
        <f>+D4/F4</f>
        <v>0.87654320987654322</v>
      </c>
      <c r="C23" s="41">
        <v>0.7</v>
      </c>
      <c r="D23" s="41">
        <v>0.55000000000000004</v>
      </c>
    </row>
    <row r="24" spans="1:11" x14ac:dyDescent="0.35">
      <c r="A24" s="9" t="s">
        <v>105</v>
      </c>
      <c r="B24" s="101">
        <f>1-B23</f>
        <v>0.12345679012345678</v>
      </c>
      <c r="C24" s="101">
        <f>1-C23</f>
        <v>0.30000000000000004</v>
      </c>
      <c r="D24" s="101">
        <f>1-D23</f>
        <v>0.44999999999999996</v>
      </c>
    </row>
    <row r="25" spans="1:11" x14ac:dyDescent="0.35">
      <c r="A25" s="9" t="s">
        <v>94</v>
      </c>
      <c r="B25" s="40">
        <f>+B24/B23</f>
        <v>0.14084507042253519</v>
      </c>
      <c r="C25" s="40">
        <f>+C24/C23</f>
        <v>0.42857142857142866</v>
      </c>
      <c r="D25" s="40">
        <f>+D24/D23</f>
        <v>0.81818181818181801</v>
      </c>
    </row>
    <row r="26" spans="1:11" x14ac:dyDescent="0.35">
      <c r="A26" s="20" t="s">
        <v>99</v>
      </c>
      <c r="B26" s="110">
        <v>3.193E-2</v>
      </c>
      <c r="C26" s="110">
        <v>3.193E-2</v>
      </c>
      <c r="D26" s="110">
        <v>3.193E-2</v>
      </c>
    </row>
    <row r="27" spans="1:11" x14ac:dyDescent="0.35">
      <c r="A27" s="20" t="s">
        <v>95</v>
      </c>
      <c r="B27" s="48">
        <f>ROUND($J$19*(1+B25*(1-$I$4)),2)</f>
        <v>0.6</v>
      </c>
      <c r="C27" s="48">
        <f t="shared" ref="C27:D27" si="7">ROUND($J$19*(1+C25*(1-$I$4)),2)</f>
        <v>0.71</v>
      </c>
      <c r="D27" s="48">
        <f t="shared" si="7"/>
        <v>0.85</v>
      </c>
      <c r="G27" s="42"/>
    </row>
    <row r="28" spans="1:11" x14ac:dyDescent="0.35">
      <c r="A28" s="20" t="s">
        <v>100</v>
      </c>
      <c r="B28" s="111">
        <v>0.05</v>
      </c>
      <c r="C28" s="112">
        <f>+B28</f>
        <v>0.05</v>
      </c>
      <c r="D28" s="112">
        <f t="shared" ref="D28" si="8">+C28</f>
        <v>0.05</v>
      </c>
    </row>
    <row r="29" spans="1:11" x14ac:dyDescent="0.35">
      <c r="A29" s="20" t="s">
        <v>101</v>
      </c>
      <c r="B29" s="112">
        <v>3.7400000000000003E-2</v>
      </c>
      <c r="C29" s="112">
        <v>3.7400000000000003E-2</v>
      </c>
      <c r="D29" s="112">
        <v>3.7400000000000003E-2</v>
      </c>
    </row>
    <row r="30" spans="1:11" x14ac:dyDescent="0.35">
      <c r="A30" s="20" t="s">
        <v>102</v>
      </c>
      <c r="B30" s="112">
        <f>+B26+B27*B28+B29</f>
        <v>9.9330000000000002E-2</v>
      </c>
      <c r="C30" s="112">
        <f t="shared" ref="C30:D30" si="9">+C26+C27*C28+C29</f>
        <v>0.10482999999999999</v>
      </c>
      <c r="D30" s="112">
        <f t="shared" si="9"/>
        <v>0.11183</v>
      </c>
    </row>
    <row r="31" spans="1:11" x14ac:dyDescent="0.35">
      <c r="A31" s="9"/>
      <c r="B31" s="9"/>
      <c r="C31" s="9"/>
      <c r="D31" s="9"/>
    </row>
    <row r="32" spans="1:11" x14ac:dyDescent="0.35">
      <c r="A32" s="20" t="s">
        <v>103</v>
      </c>
      <c r="B32" s="111">
        <v>5.1999999999999998E-2</v>
      </c>
      <c r="C32" s="112">
        <f>+B32</f>
        <v>5.1999999999999998E-2</v>
      </c>
      <c r="D32" s="112">
        <f>+C32</f>
        <v>5.1999999999999998E-2</v>
      </c>
    </row>
    <row r="33" spans="1:4" x14ac:dyDescent="0.35">
      <c r="A33" s="20" t="s">
        <v>97</v>
      </c>
      <c r="B33" s="101">
        <f>+I4</f>
        <v>0.34399999999999997</v>
      </c>
      <c r="C33" s="101">
        <f>+B33</f>
        <v>0.34399999999999997</v>
      </c>
      <c r="D33" s="101">
        <f>+C33</f>
        <v>0.34399999999999997</v>
      </c>
    </row>
    <row r="34" spans="1:4" x14ac:dyDescent="0.35">
      <c r="A34" s="20" t="s">
        <v>106</v>
      </c>
      <c r="B34" s="41">
        <f>+B32*(1-B33)</f>
        <v>3.4111999999999996E-2</v>
      </c>
      <c r="C34" s="41">
        <f>+C32*(1-C33)</f>
        <v>3.4111999999999996E-2</v>
      </c>
      <c r="D34" s="41">
        <f>+D32*(1-D33)</f>
        <v>3.4111999999999996E-2</v>
      </c>
    </row>
    <row r="35" spans="1:4" x14ac:dyDescent="0.35">
      <c r="A35" s="9"/>
      <c r="B35" s="9"/>
      <c r="C35" s="9"/>
      <c r="D35" s="9"/>
    </row>
    <row r="36" spans="1:4" x14ac:dyDescent="0.35">
      <c r="A36" s="9" t="s">
        <v>39</v>
      </c>
      <c r="B36" s="101">
        <f>+B$30*B23+B$34*B24</f>
        <v>9.1278395061728398E-2</v>
      </c>
      <c r="C36" s="101">
        <f>+C$30*C23+C$34*C24</f>
        <v>8.3614599999999983E-2</v>
      </c>
      <c r="D36" s="101">
        <f>+D$30*D23+D$34*D24</f>
        <v>7.6856900000000006E-2</v>
      </c>
    </row>
  </sheetData>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heetViews>
  <sheetFormatPr defaultRowHeight="14.5" x14ac:dyDescent="0.35"/>
  <cols>
    <col min="1" max="4" width="36.7265625" customWidth="1"/>
  </cols>
  <sheetData>
    <row r="1" spans="1:4" x14ac:dyDescent="0.35">
      <c r="A1" s="2" t="s">
        <v>162</v>
      </c>
    </row>
    <row r="3" spans="1:4" x14ac:dyDescent="0.35">
      <c r="A3" t="s">
        <v>163</v>
      </c>
      <c r="B3" t="s">
        <v>164</v>
      </c>
      <c r="C3">
        <v>0</v>
      </c>
    </row>
    <row r="4" spans="1:4" x14ac:dyDescent="0.35">
      <c r="A4" t="s">
        <v>165</v>
      </c>
    </row>
    <row r="5" spans="1:4" x14ac:dyDescent="0.35">
      <c r="A5" t="s">
        <v>166</v>
      </c>
    </row>
    <row r="7" spans="1:4" x14ac:dyDescent="0.35">
      <c r="A7" s="2" t="s">
        <v>167</v>
      </c>
      <c r="B7" t="s">
        <v>168</v>
      </c>
    </row>
    <row r="8" spans="1:4" x14ac:dyDescent="0.35">
      <c r="B8">
        <v>4</v>
      </c>
    </row>
    <row r="10" spans="1:4" x14ac:dyDescent="0.35">
      <c r="A10" t="s">
        <v>169</v>
      </c>
    </row>
    <row r="11" spans="1:4" x14ac:dyDescent="0.35">
      <c r="A11" t="e">
        <f>CB_DATA_!#REF!</f>
        <v>#REF!</v>
      </c>
      <c r="B11" t="e">
        <f>CashFlow!#REF!</f>
        <v>#REF!</v>
      </c>
      <c r="C11" t="e">
        <f>WACC!#REF!</f>
        <v>#REF!</v>
      </c>
      <c r="D11" t="e">
        <f>BrandValue!#REF!</f>
        <v>#REF!</v>
      </c>
    </row>
    <row r="13" spans="1:4" x14ac:dyDescent="0.35">
      <c r="A13" t="s">
        <v>170</v>
      </c>
    </row>
    <row r="14" spans="1:4" x14ac:dyDescent="0.35">
      <c r="A14" t="s">
        <v>174</v>
      </c>
      <c r="B14" t="s">
        <v>178</v>
      </c>
      <c r="C14" t="s">
        <v>181</v>
      </c>
      <c r="D14" t="s">
        <v>185</v>
      </c>
    </row>
    <row r="16" spans="1:4" x14ac:dyDescent="0.35">
      <c r="A16" t="s">
        <v>171</v>
      </c>
    </row>
    <row r="19" spans="1:4" x14ac:dyDescent="0.35">
      <c r="A19" t="s">
        <v>172</v>
      </c>
    </row>
    <row r="20" spans="1:4" x14ac:dyDescent="0.35">
      <c r="A20">
        <v>28</v>
      </c>
      <c r="B20">
        <v>31</v>
      </c>
      <c r="C20">
        <v>31</v>
      </c>
      <c r="D20">
        <v>31</v>
      </c>
    </row>
    <row r="25" spans="1:4" x14ac:dyDescent="0.35">
      <c r="A25" s="2" t="s">
        <v>173</v>
      </c>
    </row>
    <row r="26" spans="1:4" x14ac:dyDescent="0.35">
      <c r="A26" s="93" t="s">
        <v>175</v>
      </c>
      <c r="B26" s="93" t="s">
        <v>179</v>
      </c>
      <c r="C26" s="93" t="s">
        <v>179</v>
      </c>
      <c r="D26" s="93" t="s">
        <v>179</v>
      </c>
    </row>
    <row r="27" spans="1:4" x14ac:dyDescent="0.35">
      <c r="A27" t="s">
        <v>176</v>
      </c>
      <c r="B27" t="s">
        <v>209</v>
      </c>
      <c r="C27" t="s">
        <v>208</v>
      </c>
      <c r="D27" t="s">
        <v>210</v>
      </c>
    </row>
    <row r="28" spans="1:4" x14ac:dyDescent="0.35">
      <c r="A28" s="93" t="s">
        <v>177</v>
      </c>
      <c r="B28" s="93" t="s">
        <v>177</v>
      </c>
      <c r="C28" s="93" t="s">
        <v>177</v>
      </c>
      <c r="D28" s="93" t="s">
        <v>177</v>
      </c>
    </row>
    <row r="29" spans="1:4" x14ac:dyDescent="0.35">
      <c r="B29" s="93" t="s">
        <v>175</v>
      </c>
      <c r="C29" s="93" t="s">
        <v>175</v>
      </c>
      <c r="D29" s="93" t="s">
        <v>175</v>
      </c>
    </row>
    <row r="30" spans="1:4" x14ac:dyDescent="0.35">
      <c r="B30" t="s">
        <v>180</v>
      </c>
      <c r="C30" t="s">
        <v>182</v>
      </c>
      <c r="D30" t="s">
        <v>186</v>
      </c>
    </row>
    <row r="31" spans="1:4" x14ac:dyDescent="0.35">
      <c r="B31" s="93" t="s">
        <v>177</v>
      </c>
      <c r="C31" s="93" t="s">
        <v>177</v>
      </c>
      <c r="D31" s="93" t="s">
        <v>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2"/>
  <sheetViews>
    <sheetView tabSelected="1" zoomScale="142" zoomScaleNormal="142" workbookViewId="0">
      <selection sqref="A1:J29"/>
    </sheetView>
  </sheetViews>
  <sheetFormatPr defaultRowHeight="14.5" x14ac:dyDescent="0.35"/>
  <cols>
    <col min="1" max="1" width="39.453125" bestFit="1" customWidth="1"/>
    <col min="2" max="2" width="9.453125" bestFit="1" customWidth="1"/>
    <col min="10" max="10" width="13.1796875" customWidth="1"/>
  </cols>
  <sheetData>
    <row r="1" spans="1:10" x14ac:dyDescent="0.35">
      <c r="A1" s="2" t="s">
        <v>158</v>
      </c>
      <c r="B1" s="2" t="s">
        <v>192</v>
      </c>
    </row>
    <row r="2" spans="1:10" x14ac:dyDescent="0.35">
      <c r="A2" s="15"/>
      <c r="B2" s="59" t="s">
        <v>1</v>
      </c>
      <c r="C2" s="59" t="s">
        <v>2</v>
      </c>
      <c r="D2" s="59" t="s">
        <v>17</v>
      </c>
      <c r="E2" s="59" t="s">
        <v>18</v>
      </c>
      <c r="F2" s="59" t="s">
        <v>19</v>
      </c>
      <c r="G2" s="59" t="s">
        <v>20</v>
      </c>
      <c r="H2" s="59" t="s">
        <v>21</v>
      </c>
      <c r="I2" s="59" t="s">
        <v>22</v>
      </c>
    </row>
    <row r="3" spans="1:10" x14ac:dyDescent="0.35">
      <c r="A3" s="9" t="s">
        <v>0</v>
      </c>
      <c r="B3" s="9">
        <v>65</v>
      </c>
      <c r="C3" s="9">
        <v>66.3</v>
      </c>
      <c r="D3" s="9">
        <v>70.400000000000006</v>
      </c>
      <c r="E3" s="9">
        <v>75.5</v>
      </c>
      <c r="F3" s="9">
        <v>80.2</v>
      </c>
      <c r="G3" s="9">
        <v>85.1</v>
      </c>
      <c r="H3" s="9">
        <v>88.5</v>
      </c>
      <c r="I3" s="46">
        <f>+H3*(1+$I$4)</f>
        <v>90.712499999999991</v>
      </c>
    </row>
    <row r="4" spans="1:10" x14ac:dyDescent="0.35">
      <c r="A4" s="9" t="s">
        <v>28</v>
      </c>
      <c r="B4" s="9"/>
      <c r="C4" s="41">
        <f>+C3/B3-1</f>
        <v>2.0000000000000018E-2</v>
      </c>
      <c r="D4" s="41">
        <f t="shared" ref="D4:H4" si="0">+D3/C3-1</f>
        <v>6.18401206636503E-2</v>
      </c>
      <c r="E4" s="41">
        <f t="shared" si="0"/>
        <v>7.2443181818181657E-2</v>
      </c>
      <c r="F4" s="41">
        <f t="shared" si="0"/>
        <v>6.2251655629139035E-2</v>
      </c>
      <c r="G4" s="41">
        <f t="shared" si="0"/>
        <v>6.1097256857855164E-2</v>
      </c>
      <c r="H4" s="41">
        <f t="shared" si="0"/>
        <v>3.9952996474735603E-2</v>
      </c>
      <c r="I4" s="95">
        <v>2.5000000000000001E-2</v>
      </c>
    </row>
    <row r="5" spans="1:10" x14ac:dyDescent="0.35">
      <c r="A5" s="9"/>
      <c r="B5" s="9"/>
      <c r="C5" s="9"/>
      <c r="D5" s="9"/>
      <c r="E5" s="9"/>
      <c r="F5" s="9"/>
      <c r="G5" s="9"/>
      <c r="H5" s="9"/>
      <c r="I5" s="9"/>
    </row>
    <row r="6" spans="1:10" x14ac:dyDescent="0.35">
      <c r="A6" s="9" t="s">
        <v>3</v>
      </c>
      <c r="B6" s="9">
        <v>15.3</v>
      </c>
      <c r="C6" s="9">
        <v>16.600000000000001</v>
      </c>
      <c r="D6" s="9">
        <v>18.100000000000001</v>
      </c>
      <c r="E6" s="9">
        <v>20.3</v>
      </c>
      <c r="F6" s="9">
        <v>22.7</v>
      </c>
      <c r="G6" s="9">
        <v>24.4</v>
      </c>
      <c r="H6" s="9">
        <v>25.7</v>
      </c>
      <c r="I6" s="46">
        <f>+H6*(1+$I$4)</f>
        <v>26.342499999999998</v>
      </c>
    </row>
    <row r="7" spans="1:10" x14ac:dyDescent="0.35">
      <c r="A7" s="9" t="s">
        <v>29</v>
      </c>
      <c r="B7" s="41">
        <f>+B6/B3</f>
        <v>0.23538461538461539</v>
      </c>
      <c r="C7" s="41">
        <f t="shared" ref="C7:I7" si="1">+C6/C3</f>
        <v>0.25037707390648573</v>
      </c>
      <c r="D7" s="41">
        <f t="shared" si="1"/>
        <v>0.25710227272727271</v>
      </c>
      <c r="E7" s="41">
        <f t="shared" si="1"/>
        <v>0.26887417218543047</v>
      </c>
      <c r="F7" s="41">
        <f t="shared" si="1"/>
        <v>0.28304239401496256</v>
      </c>
      <c r="G7" s="41">
        <f t="shared" si="1"/>
        <v>0.28672150411280845</v>
      </c>
      <c r="H7" s="41">
        <f t="shared" si="1"/>
        <v>0.29039548022598871</v>
      </c>
      <c r="I7" s="41">
        <f t="shared" si="1"/>
        <v>0.29039548022598871</v>
      </c>
    </row>
    <row r="8" spans="1:10" x14ac:dyDescent="0.35">
      <c r="A8" s="9"/>
      <c r="B8" s="9"/>
      <c r="C8" s="9"/>
      <c r="D8" s="9"/>
      <c r="E8" s="9"/>
      <c r="F8" s="9"/>
      <c r="G8" s="9"/>
      <c r="H8" s="9"/>
      <c r="I8" s="9"/>
    </row>
    <row r="9" spans="1:10" ht="29" x14ac:dyDescent="0.35">
      <c r="A9" s="9" t="s">
        <v>30</v>
      </c>
      <c r="B9" s="9">
        <v>3.8</v>
      </c>
      <c r="C9" s="9">
        <v>3.5</v>
      </c>
      <c r="D9" s="9">
        <v>4</v>
      </c>
      <c r="E9" s="9">
        <v>4.0999999999999996</v>
      </c>
      <c r="F9" s="9">
        <v>4</v>
      </c>
      <c r="G9" s="9">
        <v>4.0999999999999996</v>
      </c>
      <c r="H9" s="9">
        <v>3</v>
      </c>
      <c r="I9" s="9">
        <f>+I14</f>
        <v>1.5</v>
      </c>
      <c r="J9" s="113" t="s">
        <v>109</v>
      </c>
    </row>
    <row r="10" spans="1:10" x14ac:dyDescent="0.35">
      <c r="A10" s="9"/>
      <c r="B10" s="9"/>
      <c r="C10" s="9"/>
      <c r="D10" s="9"/>
      <c r="E10" s="9"/>
      <c r="F10" s="9"/>
      <c r="G10" s="9"/>
      <c r="H10" s="9"/>
      <c r="I10" s="9"/>
    </row>
    <row r="11" spans="1:10" x14ac:dyDescent="0.35">
      <c r="A11" s="9" t="s">
        <v>4</v>
      </c>
      <c r="B11" s="9">
        <f>+B6-B9</f>
        <v>11.5</v>
      </c>
      <c r="C11" s="9">
        <f t="shared" ref="C11:I11" si="2">+C6-C9</f>
        <v>13.100000000000001</v>
      </c>
      <c r="D11" s="9">
        <f t="shared" si="2"/>
        <v>14.100000000000001</v>
      </c>
      <c r="E11" s="9">
        <f t="shared" si="2"/>
        <v>16.200000000000003</v>
      </c>
      <c r="F11" s="9">
        <f t="shared" si="2"/>
        <v>18.7</v>
      </c>
      <c r="G11" s="9">
        <f t="shared" si="2"/>
        <v>20.299999999999997</v>
      </c>
      <c r="H11" s="9">
        <f t="shared" si="2"/>
        <v>22.7</v>
      </c>
      <c r="I11" s="46">
        <f t="shared" si="2"/>
        <v>24.842499999999998</v>
      </c>
    </row>
    <row r="12" spans="1:10" x14ac:dyDescent="0.35">
      <c r="A12" s="9" t="s">
        <v>31</v>
      </c>
      <c r="B12" s="41">
        <f>+B11/B3</f>
        <v>0.17692307692307693</v>
      </c>
      <c r="C12" s="41">
        <f t="shared" ref="C12:I12" si="3">+C11/C3</f>
        <v>0.19758672699849172</v>
      </c>
      <c r="D12" s="41">
        <f t="shared" si="3"/>
        <v>0.20028409090909091</v>
      </c>
      <c r="E12" s="41">
        <f t="shared" si="3"/>
        <v>0.21456953642384111</v>
      </c>
      <c r="F12" s="41">
        <f t="shared" si="3"/>
        <v>0.23316708229426433</v>
      </c>
      <c r="G12" s="41">
        <f t="shared" si="3"/>
        <v>0.23854289071680373</v>
      </c>
      <c r="H12" s="41">
        <f t="shared" si="3"/>
        <v>0.25649717514124293</v>
      </c>
      <c r="I12" s="41">
        <f t="shared" si="3"/>
        <v>0.27385972164806394</v>
      </c>
    </row>
    <row r="13" spans="1:10" x14ac:dyDescent="0.35">
      <c r="A13" s="9"/>
      <c r="B13" s="9"/>
      <c r="C13" s="9"/>
      <c r="D13" s="9"/>
      <c r="E13" s="9"/>
      <c r="F13" s="9"/>
      <c r="G13" s="9"/>
      <c r="H13" s="9"/>
      <c r="I13" s="9"/>
    </row>
    <row r="14" spans="1:10" ht="29" x14ac:dyDescent="0.35">
      <c r="A14" s="9" t="s">
        <v>32</v>
      </c>
      <c r="B14" s="9">
        <v>1.5</v>
      </c>
      <c r="C14" s="9">
        <v>1.6</v>
      </c>
      <c r="D14" s="9">
        <v>1.6</v>
      </c>
      <c r="E14" s="9">
        <v>1.7</v>
      </c>
      <c r="F14" s="9">
        <v>1.6</v>
      </c>
      <c r="G14" s="9">
        <v>1.6</v>
      </c>
      <c r="H14" s="9">
        <v>1.5</v>
      </c>
      <c r="I14" s="9">
        <f>+H14</f>
        <v>1.5</v>
      </c>
      <c r="J14" s="113" t="s">
        <v>109</v>
      </c>
    </row>
    <row r="15" spans="1:10" x14ac:dyDescent="0.35">
      <c r="A15" s="9" t="s">
        <v>33</v>
      </c>
      <c r="B15" s="9">
        <v>129</v>
      </c>
      <c r="C15" s="9">
        <v>86.2</v>
      </c>
      <c r="D15" s="9">
        <v>91.5</v>
      </c>
      <c r="E15" s="9">
        <v>98.1</v>
      </c>
      <c r="F15" s="9">
        <v>104.3</v>
      </c>
      <c r="G15" s="9">
        <v>110.7</v>
      </c>
      <c r="H15" s="9">
        <v>115.1</v>
      </c>
      <c r="I15" s="46">
        <f>+I3*I16</f>
        <v>117.92625</v>
      </c>
    </row>
    <row r="16" spans="1:10" ht="29" x14ac:dyDescent="0.35">
      <c r="A16" s="9" t="s">
        <v>195</v>
      </c>
      <c r="B16" s="9"/>
      <c r="C16" s="48">
        <f>+C15/C3</f>
        <v>1.3001508295625943</v>
      </c>
      <c r="D16" s="48">
        <f t="shared" ref="D16:H16" si="4">+D15/D3</f>
        <v>1.2997159090909089</v>
      </c>
      <c r="E16" s="48">
        <f t="shared" si="4"/>
        <v>1.2993377483443709</v>
      </c>
      <c r="F16" s="48">
        <f t="shared" si="4"/>
        <v>1.300498753117207</v>
      </c>
      <c r="G16" s="48">
        <f t="shared" si="4"/>
        <v>1.300822561692127</v>
      </c>
      <c r="H16" s="48">
        <f t="shared" si="4"/>
        <v>1.3005649717514123</v>
      </c>
      <c r="I16" s="96">
        <v>1.3</v>
      </c>
      <c r="J16" s="113" t="s">
        <v>110</v>
      </c>
    </row>
    <row r="17" spans="1:9" x14ac:dyDescent="0.35">
      <c r="A17" s="9" t="s">
        <v>34</v>
      </c>
      <c r="B17" s="9"/>
      <c r="C17" s="9">
        <f>+C15-B15</f>
        <v>-42.8</v>
      </c>
      <c r="D17" s="9">
        <f t="shared" ref="D17:H17" si="5">+D15-C15</f>
        <v>5.2999999999999972</v>
      </c>
      <c r="E17" s="9">
        <f t="shared" si="5"/>
        <v>6.5999999999999943</v>
      </c>
      <c r="F17" s="9">
        <f t="shared" si="5"/>
        <v>6.2000000000000028</v>
      </c>
      <c r="G17" s="9">
        <f t="shared" si="5"/>
        <v>6.4000000000000057</v>
      </c>
      <c r="H17" s="9">
        <f t="shared" si="5"/>
        <v>4.3999999999999915</v>
      </c>
      <c r="I17" s="46">
        <f>+I15-H15</f>
        <v>2.8262500000000017</v>
      </c>
    </row>
    <row r="18" spans="1:9" x14ac:dyDescent="0.35">
      <c r="A18" s="9" t="s">
        <v>35</v>
      </c>
      <c r="B18" s="97">
        <v>0.34399999999999997</v>
      </c>
      <c r="C18" s="9"/>
      <c r="D18" s="9"/>
      <c r="E18" s="9"/>
      <c r="F18" s="9"/>
      <c r="G18" s="9"/>
      <c r="H18" s="9"/>
      <c r="I18" s="9"/>
    </row>
    <row r="19" spans="1:9" x14ac:dyDescent="0.35">
      <c r="A19" s="9" t="s">
        <v>108</v>
      </c>
      <c r="B19" s="46">
        <f>+B11*(1-$B$18)</f>
        <v>7.5440000000000005</v>
      </c>
      <c r="C19" s="46">
        <f t="shared" ref="C19:I19" si="6">+C11*(1-$B$18)</f>
        <v>8.5936000000000021</v>
      </c>
      <c r="D19" s="46">
        <f t="shared" si="6"/>
        <v>9.2496000000000009</v>
      </c>
      <c r="E19" s="46">
        <f t="shared" si="6"/>
        <v>10.627200000000002</v>
      </c>
      <c r="F19" s="46">
        <f t="shared" si="6"/>
        <v>12.267200000000001</v>
      </c>
      <c r="G19" s="46">
        <f t="shared" si="6"/>
        <v>13.316799999999999</v>
      </c>
      <c r="H19" s="46">
        <f t="shared" si="6"/>
        <v>14.8912</v>
      </c>
      <c r="I19" s="46">
        <f t="shared" si="6"/>
        <v>16.296679999999999</v>
      </c>
    </row>
    <row r="20" spans="1:9" x14ac:dyDescent="0.35">
      <c r="A20" s="9"/>
      <c r="B20" s="46"/>
      <c r="C20" s="46"/>
      <c r="D20" s="46"/>
      <c r="E20" s="46"/>
      <c r="F20" s="46"/>
      <c r="G20" s="46"/>
      <c r="H20" s="46"/>
      <c r="I20" s="9"/>
    </row>
    <row r="21" spans="1:9" x14ac:dyDescent="0.35">
      <c r="A21" s="9" t="s">
        <v>107</v>
      </c>
      <c r="B21" s="46"/>
      <c r="C21" s="46">
        <f t="shared" ref="C21:I21" si="7">+C19+C9-C14-C17</f>
        <v>53.293599999999998</v>
      </c>
      <c r="D21" s="46">
        <f t="shared" si="7"/>
        <v>6.3496000000000041</v>
      </c>
      <c r="E21" s="46">
        <f t="shared" si="7"/>
        <v>6.427200000000008</v>
      </c>
      <c r="F21" s="46">
        <f t="shared" si="7"/>
        <v>8.4672000000000001</v>
      </c>
      <c r="G21" s="46">
        <f t="shared" si="7"/>
        <v>9.4167999999999932</v>
      </c>
      <c r="H21" s="46">
        <f t="shared" si="7"/>
        <v>11.991200000000006</v>
      </c>
      <c r="I21" s="46">
        <f t="shared" si="7"/>
        <v>13.470429999999997</v>
      </c>
    </row>
    <row r="22" spans="1:9" x14ac:dyDescent="0.35">
      <c r="A22" s="51" t="s">
        <v>112</v>
      </c>
      <c r="B22" s="41">
        <f>+WACC!D36</f>
        <v>7.6856900000000006E-2</v>
      </c>
      <c r="H22" s="9"/>
    </row>
    <row r="23" spans="1:9" x14ac:dyDescent="0.35">
      <c r="A23" s="51" t="s">
        <v>118</v>
      </c>
      <c r="B23" s="41">
        <f>+WACC!C36</f>
        <v>8.3614599999999983E-2</v>
      </c>
      <c r="H23" s="9"/>
    </row>
    <row r="24" spans="1:9" x14ac:dyDescent="0.35">
      <c r="A24" s="51" t="s">
        <v>22</v>
      </c>
      <c r="B24" s="52">
        <f>H24/(1+B23)^6</f>
        <v>160.44486466496784</v>
      </c>
      <c r="C24" s="49"/>
      <c r="D24" s="49"/>
      <c r="E24" s="49"/>
      <c r="F24" s="49"/>
      <c r="G24" s="49"/>
      <c r="H24" s="52">
        <f>+I21/(B22-I4)</f>
        <v>259.7615746409831</v>
      </c>
    </row>
    <row r="25" spans="1:9" x14ac:dyDescent="0.35">
      <c r="A25" s="51" t="s">
        <v>188</v>
      </c>
      <c r="B25" s="52">
        <f>NPV(B23,C21:H21)</f>
        <v>79.490320336520625</v>
      </c>
      <c r="C25" s="49"/>
      <c r="D25" s="49"/>
      <c r="E25" s="49"/>
      <c r="F25" s="49"/>
      <c r="G25" s="49"/>
      <c r="H25" s="49"/>
    </row>
    <row r="26" spans="1:9" x14ac:dyDescent="0.35">
      <c r="A26" s="51" t="s">
        <v>189</v>
      </c>
      <c r="B26" s="52">
        <f>+B24+B25</f>
        <v>239.93518500148846</v>
      </c>
    </row>
    <row r="27" spans="1:9" x14ac:dyDescent="0.35">
      <c r="A27" s="51" t="s">
        <v>7</v>
      </c>
      <c r="B27" s="52">
        <f>+Comparables!C77</f>
        <v>28</v>
      </c>
    </row>
    <row r="28" spans="1:9" x14ac:dyDescent="0.35">
      <c r="A28" s="51" t="s">
        <v>15</v>
      </c>
      <c r="B28" s="52">
        <f>+Comparables!C78</f>
        <v>3</v>
      </c>
    </row>
    <row r="29" spans="1:9" x14ac:dyDescent="0.35">
      <c r="A29" s="72" t="s">
        <v>119</v>
      </c>
      <c r="B29" s="94">
        <f>+B26-B27+B28</f>
        <v>214.93518500148846</v>
      </c>
    </row>
    <row r="30" spans="1:9" x14ac:dyDescent="0.35">
      <c r="A30" s="71" t="s">
        <v>142</v>
      </c>
      <c r="B30" s="5">
        <f>+B29/Comparables!B81-1</f>
        <v>0.21090245071261116</v>
      </c>
    </row>
    <row r="33" spans="1:2" x14ac:dyDescent="0.35">
      <c r="A33" s="115" t="s">
        <v>203</v>
      </c>
      <c r="B33" s="115"/>
    </row>
    <row r="34" spans="1:2" x14ac:dyDescent="0.35">
      <c r="A34" s="9" t="s">
        <v>117</v>
      </c>
      <c r="B34" s="52">
        <f>+B29</f>
        <v>214.93518500148846</v>
      </c>
    </row>
    <row r="35" spans="1:2" x14ac:dyDescent="0.35">
      <c r="A35" s="9" t="s">
        <v>143</v>
      </c>
      <c r="B35" s="52">
        <f>+NAV!C13</f>
        <v>205.31354313452687</v>
      </c>
    </row>
    <row r="36" spans="1:2" x14ac:dyDescent="0.35">
      <c r="A36" s="9" t="s">
        <v>202</v>
      </c>
      <c r="B36" s="52">
        <f>+B34-B35</f>
        <v>9.6216418669615962</v>
      </c>
    </row>
    <row r="37" spans="1:2" x14ac:dyDescent="0.35">
      <c r="A37" s="9" t="s">
        <v>207</v>
      </c>
      <c r="B37" s="41">
        <f>+B36/B35</f>
        <v>4.6863162166838855E-2</v>
      </c>
    </row>
    <row r="39" spans="1:2" x14ac:dyDescent="0.35">
      <c r="A39" s="9" t="s">
        <v>117</v>
      </c>
      <c r="B39" s="52">
        <f>+B29</f>
        <v>214.93518500148846</v>
      </c>
    </row>
    <row r="40" spans="1:2" x14ac:dyDescent="0.35">
      <c r="A40" s="9" t="s">
        <v>204</v>
      </c>
      <c r="B40" s="52">
        <f>+Comparables!B81</f>
        <v>177.5</v>
      </c>
    </row>
    <row r="41" spans="1:2" x14ac:dyDescent="0.35">
      <c r="A41" s="9" t="s">
        <v>205</v>
      </c>
      <c r="B41" s="52">
        <f>+B39-B40</f>
        <v>37.435185001488463</v>
      </c>
    </row>
    <row r="42" spans="1:2" x14ac:dyDescent="0.35">
      <c r="A42" s="9" t="s">
        <v>206</v>
      </c>
      <c r="B42" s="41">
        <f>+B41/B40</f>
        <v>0.21090245071261107</v>
      </c>
    </row>
  </sheetData>
  <mergeCells count="1">
    <mergeCell ref="A33:B33"/>
  </mergeCell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zoomScale="130" zoomScaleNormal="130" workbookViewId="0">
      <selection activeCell="N11" sqref="N11"/>
    </sheetView>
  </sheetViews>
  <sheetFormatPr defaultRowHeight="14.5" x14ac:dyDescent="0.35"/>
  <cols>
    <col min="1" max="1" width="22.54296875" customWidth="1"/>
    <col min="2" max="2" width="8.81640625" style="1" bestFit="1" customWidth="1"/>
    <col min="3" max="6" width="4.26953125" style="1" bestFit="1" customWidth="1"/>
    <col min="7" max="7" width="8.81640625" style="1" bestFit="1" customWidth="1"/>
    <col min="8" max="9" width="4.26953125" style="1" bestFit="1" customWidth="1"/>
    <col min="10" max="10" width="8.81640625" style="1" bestFit="1" customWidth="1"/>
    <col min="11" max="11" width="4.26953125" style="1" bestFit="1" customWidth="1"/>
    <col min="12" max="13" width="8.81640625" style="1" bestFit="1" customWidth="1"/>
    <col min="14" max="16" width="4.26953125" style="1" bestFit="1" customWidth="1"/>
    <col min="17" max="17" width="8.81640625" style="1" bestFit="1" customWidth="1"/>
    <col min="18" max="21" width="4.26953125" style="1" bestFit="1" customWidth="1"/>
    <col min="22" max="22" width="8.7265625" style="1" customWidth="1"/>
  </cols>
  <sheetData>
    <row r="1" spans="1:22" x14ac:dyDescent="0.35">
      <c r="A1" s="2" t="s">
        <v>161</v>
      </c>
    </row>
    <row r="2" spans="1:22" x14ac:dyDescent="0.35">
      <c r="A2" s="9"/>
      <c r="B2" s="59">
        <v>165</v>
      </c>
      <c r="C2" s="59">
        <f>+B2+5</f>
        <v>170</v>
      </c>
      <c r="D2" s="59">
        <f t="shared" ref="D2:V2" si="0">+C2+5</f>
        <v>175</v>
      </c>
      <c r="E2" s="59">
        <f t="shared" si="0"/>
        <v>180</v>
      </c>
      <c r="F2" s="59">
        <f t="shared" si="0"/>
        <v>185</v>
      </c>
      <c r="G2" s="59">
        <f t="shared" si="0"/>
        <v>190</v>
      </c>
      <c r="H2" s="59">
        <f t="shared" si="0"/>
        <v>195</v>
      </c>
      <c r="I2" s="59">
        <f t="shared" si="0"/>
        <v>200</v>
      </c>
      <c r="J2" s="59">
        <f t="shared" si="0"/>
        <v>205</v>
      </c>
      <c r="K2" s="59">
        <f t="shared" si="0"/>
        <v>210</v>
      </c>
      <c r="L2" s="59">
        <f t="shared" si="0"/>
        <v>215</v>
      </c>
      <c r="M2" s="59">
        <f t="shared" si="0"/>
        <v>220</v>
      </c>
      <c r="N2" s="59">
        <f t="shared" si="0"/>
        <v>225</v>
      </c>
      <c r="O2" s="59">
        <f t="shared" si="0"/>
        <v>230</v>
      </c>
      <c r="P2" s="59">
        <f t="shared" si="0"/>
        <v>235</v>
      </c>
      <c r="Q2" s="59">
        <f t="shared" si="0"/>
        <v>240</v>
      </c>
      <c r="R2" s="59">
        <f t="shared" si="0"/>
        <v>245</v>
      </c>
      <c r="S2" s="59">
        <f t="shared" si="0"/>
        <v>250</v>
      </c>
      <c r="T2" s="59">
        <f t="shared" si="0"/>
        <v>255</v>
      </c>
      <c r="U2" s="59">
        <f t="shared" si="0"/>
        <v>260</v>
      </c>
      <c r="V2" s="59">
        <f t="shared" si="0"/>
        <v>265</v>
      </c>
    </row>
    <row r="3" spans="1:22" x14ac:dyDescent="0.35">
      <c r="A3" s="29" t="s">
        <v>116</v>
      </c>
      <c r="B3" s="90">
        <f>+Comparables!B80</f>
        <v>165</v>
      </c>
      <c r="C3" s="90"/>
      <c r="D3" s="90"/>
      <c r="E3" s="91"/>
      <c r="F3" s="90"/>
      <c r="G3" s="90">
        <f>+Comparables!C80</f>
        <v>190</v>
      </c>
      <c r="H3" s="74"/>
      <c r="I3" s="74"/>
      <c r="J3" s="74"/>
      <c r="K3" s="74"/>
      <c r="M3" s="45"/>
      <c r="N3" s="45"/>
      <c r="O3" s="45"/>
      <c r="P3" s="45"/>
      <c r="Q3" s="45"/>
      <c r="R3" s="45"/>
      <c r="S3" s="45"/>
      <c r="T3" s="45"/>
      <c r="U3" s="45"/>
      <c r="V3" s="45"/>
    </row>
    <row r="4" spans="1:22" x14ac:dyDescent="0.35">
      <c r="A4" s="29"/>
      <c r="B4" s="77">
        <f>+$L$7/B3-1</f>
        <v>0.30263748485750575</v>
      </c>
      <c r="C4" s="73"/>
      <c r="D4" s="73"/>
      <c r="E4" s="74"/>
      <c r="F4" s="74"/>
      <c r="G4" s="77">
        <f>+$L$7/G3-1</f>
        <v>0.13123781579730776</v>
      </c>
      <c r="H4" s="74"/>
      <c r="I4" s="74"/>
      <c r="J4" s="74"/>
      <c r="K4" s="74"/>
      <c r="M4" s="45"/>
      <c r="N4" s="45"/>
      <c r="O4" s="45"/>
      <c r="P4" s="45"/>
      <c r="Q4" s="45"/>
      <c r="R4" s="45"/>
      <c r="S4" s="45"/>
      <c r="T4" s="45"/>
      <c r="U4" s="45"/>
      <c r="V4" s="45"/>
    </row>
    <row r="5" spans="1:22" x14ac:dyDescent="0.35">
      <c r="A5" s="9" t="s">
        <v>115</v>
      </c>
      <c r="B5" s="73"/>
      <c r="C5" s="74"/>
      <c r="D5" s="73"/>
      <c r="E5" s="73"/>
      <c r="F5" s="45"/>
      <c r="G5" s="74"/>
      <c r="H5" s="74"/>
      <c r="I5" s="74"/>
      <c r="J5" s="45"/>
      <c r="K5" s="74"/>
      <c r="L5" s="77">
        <f>+L7/Q5-1</f>
        <v>-0.10443672916046476</v>
      </c>
      <c r="M5" s="75"/>
      <c r="N5" s="45"/>
      <c r="O5" s="45"/>
      <c r="P5" s="45"/>
      <c r="Q5" s="90">
        <f>+Transactions!E20</f>
        <v>240</v>
      </c>
      <c r="R5" s="76"/>
      <c r="S5" s="76"/>
      <c r="T5" s="76"/>
      <c r="U5" s="76"/>
      <c r="V5" s="92">
        <f>+Transactions!D20</f>
        <v>265</v>
      </c>
    </row>
    <row r="6" spans="1:22" x14ac:dyDescent="0.35">
      <c r="A6" s="9" t="s">
        <v>143</v>
      </c>
      <c r="B6" s="73"/>
      <c r="C6" s="74"/>
      <c r="D6" s="73"/>
      <c r="E6" s="73"/>
      <c r="F6" s="45"/>
      <c r="G6" s="74"/>
      <c r="H6" s="74"/>
      <c r="I6" s="74"/>
      <c r="J6" s="90">
        <f>+NAV!B20</f>
        <v>205.31354313452684</v>
      </c>
      <c r="K6" s="74"/>
      <c r="L6" s="78">
        <f>+L7/J6-1</f>
        <v>4.6863162166838945E-2</v>
      </c>
      <c r="M6" s="45"/>
      <c r="N6" s="45"/>
      <c r="O6" s="45"/>
      <c r="P6" s="45"/>
      <c r="Q6" s="45"/>
      <c r="R6" s="45"/>
      <c r="S6" s="45"/>
      <c r="T6" s="45"/>
      <c r="U6" s="45"/>
      <c r="V6" s="45"/>
    </row>
    <row r="7" spans="1:22" x14ac:dyDescent="0.35">
      <c r="A7" s="9" t="s">
        <v>117</v>
      </c>
      <c r="B7" s="73"/>
      <c r="C7" s="74"/>
      <c r="D7" s="74"/>
      <c r="E7" s="73"/>
      <c r="F7" s="73"/>
      <c r="G7" s="45"/>
      <c r="H7" s="74"/>
      <c r="I7" s="74"/>
      <c r="J7" s="74"/>
      <c r="K7" s="74"/>
      <c r="L7" s="90">
        <f>+CashFlow!B29</f>
        <v>214.93518500148846</v>
      </c>
      <c r="M7" s="45"/>
      <c r="N7" s="45"/>
      <c r="O7" s="45"/>
      <c r="P7" s="45"/>
      <c r="Q7" s="45"/>
      <c r="R7" s="45"/>
      <c r="S7" s="45"/>
      <c r="T7" s="45"/>
      <c r="U7" s="45"/>
      <c r="V7" s="45"/>
    </row>
    <row r="8" spans="1:22" x14ac:dyDescent="0.35">
      <c r="A8" s="71" t="s">
        <v>184</v>
      </c>
      <c r="G8" s="98"/>
      <c r="J8" s="99"/>
      <c r="L8" s="99"/>
      <c r="M8" s="98"/>
      <c r="Q8" s="99"/>
      <c r="V8" s="99"/>
    </row>
    <row r="9" spans="1:22" x14ac:dyDescent="0.35">
      <c r="A9" t="s">
        <v>183</v>
      </c>
      <c r="M9" s="90">
        <v>220</v>
      </c>
    </row>
    <row r="11" spans="1:22" x14ac:dyDescent="0.35">
      <c r="A11" t="s">
        <v>187</v>
      </c>
      <c r="J11" s="100"/>
      <c r="L11" s="100"/>
      <c r="M11" s="10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Comparables</vt:lpstr>
      <vt:lpstr>Transactions</vt:lpstr>
      <vt:lpstr>BV</vt:lpstr>
      <vt:lpstr>NAV</vt:lpstr>
      <vt:lpstr>BrandValue</vt:lpstr>
      <vt:lpstr>WACC</vt:lpstr>
      <vt:lpstr>CashFlow</vt:lpstr>
      <vt:lpstr>RangeValues</vt:lpstr>
      <vt:lpstr>InvestmentValue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jcneves</dc:creator>
  <cp:lastModifiedBy>João Carvalho das Neves</cp:lastModifiedBy>
  <dcterms:created xsi:type="dcterms:W3CDTF">2016-02-28T20:57:29Z</dcterms:created>
  <dcterms:modified xsi:type="dcterms:W3CDTF">2018-03-14T13:31:11Z</dcterms:modified>
</cp:coreProperties>
</file>